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\\SHARES\esep\дпр\1. Сектор планирования и мониторинга\6 Перечень и График заседания\Внесение изменений в Перечень\2023\27 № 114-нқ-Т от 20.12.2023\"/>
    </mc:Choice>
  </mc:AlternateContent>
  <xr:revisionPtr revIDLastSave="0" documentId="13_ncr:1_{178D3B86-47B8-4A20-B4BE-395766CF7B2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</sheets>
  <definedNames>
    <definedName name="_xlnm.Print_Area" localSheetId="0">Лист1!$A$1:$U$411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57" i="1" l="1"/>
  <c r="N357" i="1"/>
  <c r="O357" i="1"/>
  <c r="P357" i="1"/>
  <c r="Q357" i="1"/>
  <c r="R357" i="1"/>
  <c r="S357" i="1"/>
  <c r="T357" i="1"/>
  <c r="L357" i="1"/>
  <c r="M356" i="1"/>
  <c r="N356" i="1"/>
  <c r="O356" i="1"/>
  <c r="P356" i="1"/>
  <c r="Q356" i="1"/>
  <c r="R356" i="1"/>
  <c r="S356" i="1"/>
  <c r="T356" i="1"/>
  <c r="L356" i="1"/>
  <c r="T355" i="1"/>
  <c r="M203" i="1" l="1"/>
  <c r="N203" i="1"/>
  <c r="O203" i="1"/>
  <c r="P203" i="1"/>
  <c r="Q203" i="1"/>
  <c r="R203" i="1"/>
  <c r="S203" i="1"/>
  <c r="L203" i="1"/>
  <c r="T193" i="1"/>
  <c r="T192" i="1"/>
  <c r="T203" i="1" s="1"/>
  <c r="M44" i="1" l="1"/>
  <c r="N44" i="1"/>
  <c r="O44" i="1"/>
  <c r="P44" i="1"/>
  <c r="Q44" i="1"/>
  <c r="R44" i="1"/>
  <c r="S44" i="1"/>
  <c r="L44" i="1"/>
  <c r="T39" i="1"/>
  <c r="T40" i="1"/>
  <c r="T41" i="1"/>
  <c r="T42" i="1"/>
  <c r="T43" i="1"/>
  <c r="T38" i="1"/>
  <c r="T44" i="1" l="1"/>
  <c r="M322" i="1"/>
  <c r="N322" i="1"/>
  <c r="O322" i="1"/>
  <c r="P322" i="1"/>
  <c r="Q322" i="1"/>
  <c r="R322" i="1"/>
  <c r="S322" i="1"/>
  <c r="L322" i="1"/>
  <c r="T313" i="1"/>
  <c r="T314" i="1"/>
  <c r="T315" i="1"/>
  <c r="T316" i="1"/>
  <c r="T317" i="1"/>
  <c r="T318" i="1"/>
  <c r="T319" i="1"/>
  <c r="T320" i="1"/>
  <c r="T321" i="1"/>
  <c r="T312" i="1"/>
  <c r="T322" i="1" l="1"/>
  <c r="M93" i="1"/>
  <c r="N93" i="1"/>
  <c r="O93" i="1"/>
  <c r="P93" i="1"/>
  <c r="Q93" i="1"/>
  <c r="R93" i="1"/>
  <c r="S93" i="1"/>
  <c r="L93" i="1"/>
  <c r="T73" i="1"/>
  <c r="T74" i="1"/>
  <c r="T75" i="1"/>
  <c r="T76" i="1"/>
  <c r="T77" i="1"/>
  <c r="T78" i="1"/>
  <c r="T79" i="1"/>
  <c r="T80" i="1"/>
  <c r="T81" i="1"/>
  <c r="T82" i="1"/>
  <c r="T83" i="1"/>
  <c r="T84" i="1"/>
  <c r="T85" i="1"/>
  <c r="T86" i="1"/>
  <c r="T87" i="1"/>
  <c r="T88" i="1"/>
  <c r="T89" i="1"/>
  <c r="T90" i="1"/>
  <c r="T91" i="1"/>
  <c r="T92" i="1"/>
  <c r="T72" i="1"/>
  <c r="T108" i="1"/>
  <c r="T109" i="1"/>
  <c r="T110" i="1"/>
  <c r="T107" i="1"/>
  <c r="T93" i="1" l="1"/>
  <c r="T392" i="1"/>
  <c r="T393" i="1"/>
  <c r="T394" i="1"/>
  <c r="T395" i="1"/>
  <c r="T396" i="1"/>
  <c r="T397" i="1"/>
  <c r="T398" i="1"/>
  <c r="T399" i="1"/>
  <c r="T400" i="1"/>
  <c r="T401" i="1"/>
  <c r="T402" i="1"/>
  <c r="T403" i="1"/>
  <c r="M404" i="1" l="1"/>
  <c r="N404" i="1"/>
  <c r="O404" i="1"/>
  <c r="P404" i="1"/>
  <c r="Q404" i="1"/>
  <c r="R404" i="1"/>
  <c r="S404" i="1"/>
  <c r="L404" i="1"/>
  <c r="T391" i="1"/>
  <c r="M205" i="1"/>
  <c r="N205" i="1"/>
  <c r="O205" i="1"/>
  <c r="P205" i="1"/>
  <c r="Q205" i="1"/>
  <c r="R205" i="1"/>
  <c r="S205" i="1"/>
  <c r="L205" i="1"/>
  <c r="T204" i="1"/>
  <c r="T205" i="1" s="1"/>
  <c r="T404" i="1" l="1"/>
  <c r="M37" i="1" l="1"/>
  <c r="N37" i="1"/>
  <c r="O37" i="1"/>
  <c r="P37" i="1"/>
  <c r="Q37" i="1"/>
  <c r="R37" i="1"/>
  <c r="S37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15" i="1"/>
  <c r="L37" i="1"/>
  <c r="T37" i="1" l="1"/>
  <c r="M247" i="1"/>
  <c r="N247" i="1"/>
  <c r="O247" i="1"/>
  <c r="P247" i="1"/>
  <c r="Q247" i="1"/>
  <c r="R247" i="1"/>
  <c r="S247" i="1"/>
  <c r="L247" i="1"/>
  <c r="T232" i="1"/>
  <c r="T233" i="1"/>
  <c r="T234" i="1"/>
  <c r="T235" i="1"/>
  <c r="T236" i="1"/>
  <c r="T237" i="1"/>
  <c r="T238" i="1"/>
  <c r="T239" i="1"/>
  <c r="T240" i="1"/>
  <c r="T241" i="1"/>
  <c r="T242" i="1"/>
  <c r="T243" i="1"/>
  <c r="T244" i="1"/>
  <c r="T245" i="1"/>
  <c r="T246" i="1"/>
  <c r="T231" i="1"/>
  <c r="M354" i="1"/>
  <c r="N354" i="1"/>
  <c r="O354" i="1"/>
  <c r="P354" i="1"/>
  <c r="Q354" i="1"/>
  <c r="R354" i="1"/>
  <c r="S354" i="1"/>
  <c r="L354" i="1"/>
  <c r="T338" i="1"/>
  <c r="T339" i="1"/>
  <c r="T340" i="1"/>
  <c r="T341" i="1"/>
  <c r="T342" i="1"/>
  <c r="T343" i="1"/>
  <c r="T344" i="1"/>
  <c r="T345" i="1"/>
  <c r="T346" i="1"/>
  <c r="T347" i="1"/>
  <c r="T348" i="1"/>
  <c r="T349" i="1"/>
  <c r="T350" i="1"/>
  <c r="T351" i="1"/>
  <c r="T352" i="1"/>
  <c r="T353" i="1"/>
  <c r="T337" i="1"/>
  <c r="N390" i="1"/>
  <c r="O390" i="1"/>
  <c r="P390" i="1"/>
  <c r="Q390" i="1"/>
  <c r="R390" i="1"/>
  <c r="S390" i="1"/>
  <c r="M390" i="1"/>
  <c r="N388" i="1"/>
  <c r="O388" i="1"/>
  <c r="P388" i="1"/>
  <c r="Q388" i="1"/>
  <c r="R388" i="1"/>
  <c r="S388" i="1"/>
  <c r="T388" i="1"/>
  <c r="M388" i="1"/>
  <c r="N385" i="1"/>
  <c r="O385" i="1"/>
  <c r="P385" i="1"/>
  <c r="Q385" i="1"/>
  <c r="R385" i="1"/>
  <c r="S385" i="1"/>
  <c r="M385" i="1"/>
  <c r="N372" i="1"/>
  <c r="S372" i="1"/>
  <c r="M372" i="1"/>
  <c r="T359" i="1"/>
  <c r="T363" i="1" s="1"/>
  <c r="N363" i="1"/>
  <c r="O363" i="1"/>
  <c r="P363" i="1"/>
  <c r="Q363" i="1"/>
  <c r="R363" i="1"/>
  <c r="S363" i="1"/>
  <c r="M363" i="1"/>
  <c r="N336" i="1"/>
  <c r="O336" i="1"/>
  <c r="P336" i="1"/>
  <c r="Q336" i="1"/>
  <c r="R336" i="1"/>
  <c r="S336" i="1"/>
  <c r="T336" i="1"/>
  <c r="M336" i="1"/>
  <c r="N330" i="1"/>
  <c r="O330" i="1"/>
  <c r="P330" i="1"/>
  <c r="Q330" i="1"/>
  <c r="R330" i="1"/>
  <c r="S330" i="1"/>
  <c r="T330" i="1"/>
  <c r="M330" i="1"/>
  <c r="N327" i="1"/>
  <c r="O327" i="1"/>
  <c r="P327" i="1"/>
  <c r="Q327" i="1"/>
  <c r="R327" i="1"/>
  <c r="S327" i="1"/>
  <c r="T327" i="1"/>
  <c r="M327" i="1"/>
  <c r="N311" i="1"/>
  <c r="O311" i="1"/>
  <c r="P311" i="1"/>
  <c r="Q311" i="1"/>
  <c r="R311" i="1"/>
  <c r="S311" i="1"/>
  <c r="M311" i="1"/>
  <c r="N292" i="1"/>
  <c r="O292" i="1"/>
  <c r="P292" i="1"/>
  <c r="Q292" i="1"/>
  <c r="R292" i="1"/>
  <c r="S292" i="1"/>
  <c r="M292" i="1"/>
  <c r="N290" i="1"/>
  <c r="O290" i="1"/>
  <c r="P290" i="1"/>
  <c r="Q290" i="1"/>
  <c r="R290" i="1"/>
  <c r="S290" i="1"/>
  <c r="M290" i="1"/>
  <c r="N285" i="1"/>
  <c r="O285" i="1"/>
  <c r="P285" i="1"/>
  <c r="Q285" i="1"/>
  <c r="R285" i="1"/>
  <c r="S285" i="1"/>
  <c r="T285" i="1"/>
  <c r="M285" i="1"/>
  <c r="N256" i="1"/>
  <c r="O256" i="1"/>
  <c r="P256" i="1"/>
  <c r="Q256" i="1"/>
  <c r="R256" i="1"/>
  <c r="S256" i="1"/>
  <c r="M256" i="1"/>
  <c r="N230" i="1"/>
  <c r="O230" i="1"/>
  <c r="P230" i="1"/>
  <c r="Q230" i="1"/>
  <c r="R230" i="1"/>
  <c r="S230" i="1"/>
  <c r="M230" i="1"/>
  <c r="T208" i="1"/>
  <c r="T209" i="1" s="1"/>
  <c r="N209" i="1"/>
  <c r="O209" i="1"/>
  <c r="P209" i="1"/>
  <c r="Q209" i="1"/>
  <c r="R209" i="1"/>
  <c r="S209" i="1"/>
  <c r="M209" i="1"/>
  <c r="N191" i="1"/>
  <c r="O191" i="1"/>
  <c r="P191" i="1"/>
  <c r="Q191" i="1"/>
  <c r="R191" i="1"/>
  <c r="S191" i="1"/>
  <c r="M191" i="1"/>
  <c r="M206" i="1" s="1"/>
  <c r="N148" i="1"/>
  <c r="O148" i="1"/>
  <c r="S148" i="1"/>
  <c r="M148" i="1"/>
  <c r="N111" i="1"/>
  <c r="O111" i="1"/>
  <c r="P111" i="1"/>
  <c r="Q111" i="1"/>
  <c r="R111" i="1"/>
  <c r="S111" i="1"/>
  <c r="N106" i="1"/>
  <c r="O106" i="1"/>
  <c r="P106" i="1"/>
  <c r="Q106" i="1"/>
  <c r="R106" i="1"/>
  <c r="S106" i="1"/>
  <c r="M106" i="1"/>
  <c r="N101" i="1"/>
  <c r="O101" i="1"/>
  <c r="P101" i="1"/>
  <c r="Q101" i="1"/>
  <c r="R101" i="1"/>
  <c r="S101" i="1"/>
  <c r="M101" i="1"/>
  <c r="N71" i="1"/>
  <c r="O71" i="1"/>
  <c r="P71" i="1"/>
  <c r="Q71" i="1"/>
  <c r="R71" i="1"/>
  <c r="S71" i="1"/>
  <c r="M71" i="1"/>
  <c r="T48" i="1"/>
  <c r="T49" i="1"/>
  <c r="T50" i="1"/>
  <c r="T51" i="1"/>
  <c r="T52" i="1"/>
  <c r="T53" i="1"/>
  <c r="T54" i="1"/>
  <c r="T55" i="1"/>
  <c r="T56" i="1"/>
  <c r="T57" i="1"/>
  <c r="T58" i="1"/>
  <c r="T59" i="1"/>
  <c r="T60" i="1"/>
  <c r="T61" i="1"/>
  <c r="T62" i="1"/>
  <c r="T63" i="1"/>
  <c r="T64" i="1"/>
  <c r="T65" i="1"/>
  <c r="T66" i="1"/>
  <c r="T67" i="1"/>
  <c r="T68" i="1"/>
  <c r="T47" i="1"/>
  <c r="N69" i="1"/>
  <c r="O69" i="1"/>
  <c r="P69" i="1"/>
  <c r="Q69" i="1"/>
  <c r="R69" i="1"/>
  <c r="S69" i="1"/>
  <c r="M69" i="1"/>
  <c r="N14" i="1"/>
  <c r="O14" i="1"/>
  <c r="P14" i="1"/>
  <c r="Q14" i="1"/>
  <c r="R14" i="1"/>
  <c r="S14" i="1"/>
  <c r="M14" i="1"/>
  <c r="S206" i="1" l="1"/>
  <c r="O206" i="1"/>
  <c r="N206" i="1"/>
  <c r="N323" i="1"/>
  <c r="M323" i="1"/>
  <c r="S323" i="1"/>
  <c r="R323" i="1"/>
  <c r="Q323" i="1"/>
  <c r="P323" i="1"/>
  <c r="O323" i="1"/>
  <c r="Q112" i="1"/>
  <c r="M45" i="1"/>
  <c r="S45" i="1"/>
  <c r="O112" i="1"/>
  <c r="R45" i="1"/>
  <c r="N112" i="1"/>
  <c r="M405" i="1"/>
  <c r="P112" i="1"/>
  <c r="Q45" i="1"/>
  <c r="S405" i="1"/>
  <c r="S248" i="1"/>
  <c r="P45" i="1"/>
  <c r="R248" i="1"/>
  <c r="O45" i="1"/>
  <c r="Q248" i="1"/>
  <c r="N45" i="1"/>
  <c r="P248" i="1"/>
  <c r="O248" i="1"/>
  <c r="N405" i="1"/>
  <c r="N248" i="1"/>
  <c r="S112" i="1"/>
  <c r="M248" i="1"/>
  <c r="R112" i="1"/>
  <c r="R94" i="1"/>
  <c r="Q94" i="1"/>
  <c r="P94" i="1"/>
  <c r="M94" i="1"/>
  <c r="O94" i="1"/>
  <c r="N94" i="1"/>
  <c r="S94" i="1"/>
  <c r="T247" i="1"/>
  <c r="T354" i="1"/>
  <c r="T69" i="1"/>
  <c r="S406" i="1" l="1"/>
  <c r="N406" i="1"/>
  <c r="L385" i="1"/>
  <c r="T374" i="1" l="1"/>
  <c r="T375" i="1"/>
  <c r="T376" i="1"/>
  <c r="T377" i="1"/>
  <c r="T378" i="1"/>
  <c r="T379" i="1"/>
  <c r="T380" i="1"/>
  <c r="T381" i="1"/>
  <c r="T382" i="1"/>
  <c r="T383" i="1"/>
  <c r="T384" i="1"/>
  <c r="T373" i="1"/>
  <c r="L106" i="1"/>
  <c r="T103" i="1"/>
  <c r="T105" i="1"/>
  <c r="T102" i="1"/>
  <c r="L311" i="1"/>
  <c r="T294" i="1"/>
  <c r="T295" i="1"/>
  <c r="T296" i="1"/>
  <c r="T297" i="1"/>
  <c r="T298" i="1"/>
  <c r="T299" i="1"/>
  <c r="T300" i="1"/>
  <c r="T301" i="1"/>
  <c r="T302" i="1"/>
  <c r="T303" i="1"/>
  <c r="T304" i="1"/>
  <c r="T305" i="1"/>
  <c r="T306" i="1"/>
  <c r="T307" i="1"/>
  <c r="T293" i="1"/>
  <c r="L256" i="1"/>
  <c r="T385" i="1" l="1"/>
  <c r="T311" i="1"/>
  <c r="T106" i="1"/>
  <c r="T252" i="1"/>
  <c r="T253" i="1"/>
  <c r="L148" i="1"/>
  <c r="L14" i="1"/>
  <c r="L191" i="1"/>
  <c r="L206" i="1" s="1"/>
  <c r="T186" i="1"/>
  <c r="T185" i="1"/>
  <c r="T183" i="1"/>
  <c r="T184" i="1"/>
  <c r="T182" i="1"/>
  <c r="T180" i="1"/>
  <c r="T181" i="1"/>
  <c r="T179" i="1"/>
  <c r="T177" i="1"/>
  <c r="T178" i="1"/>
  <c r="T176" i="1"/>
  <c r="T175" i="1"/>
  <c r="T174" i="1"/>
  <c r="T173" i="1"/>
  <c r="T172" i="1"/>
  <c r="T171" i="1"/>
  <c r="T170" i="1"/>
  <c r="T169" i="1"/>
  <c r="T168" i="1"/>
  <c r="T167" i="1"/>
  <c r="T166" i="1"/>
  <c r="T165" i="1"/>
  <c r="T164" i="1"/>
  <c r="T163" i="1"/>
  <c r="T162" i="1"/>
  <c r="T157" i="1"/>
  <c r="T159" i="1"/>
  <c r="T158" i="1"/>
  <c r="T156" i="1"/>
  <c r="T155" i="1"/>
  <c r="T154" i="1"/>
  <c r="T153" i="1"/>
  <c r="T152" i="1"/>
  <c r="T151" i="1"/>
  <c r="T191" i="1" l="1"/>
  <c r="T255" i="1"/>
  <c r="T251" i="1" l="1"/>
  <c r="T7" i="1"/>
  <c r="T8" i="1"/>
  <c r="T9" i="1"/>
  <c r="T10" i="1"/>
  <c r="T11" i="1"/>
  <c r="T12" i="1"/>
  <c r="T13" i="1"/>
  <c r="T6" i="1"/>
  <c r="L45" i="1"/>
  <c r="L69" i="1"/>
  <c r="L71" i="1"/>
  <c r="L101" i="1"/>
  <c r="L111" i="1"/>
  <c r="M111" i="1"/>
  <c r="M112" i="1" s="1"/>
  <c r="M406" i="1" s="1"/>
  <c r="L209" i="1"/>
  <c r="L230" i="1"/>
  <c r="L285" i="1"/>
  <c r="L292" i="1"/>
  <c r="L372" i="1"/>
  <c r="T70" i="1"/>
  <c r="T71" i="1" s="1"/>
  <c r="T94" i="1" s="1"/>
  <c r="T227" i="1"/>
  <c r="T226" i="1"/>
  <c r="T225" i="1"/>
  <c r="T224" i="1"/>
  <c r="T223" i="1"/>
  <c r="T222" i="1"/>
  <c r="T221" i="1"/>
  <c r="T211" i="1"/>
  <c r="T212" i="1"/>
  <c r="T213" i="1"/>
  <c r="T214" i="1"/>
  <c r="T215" i="1"/>
  <c r="T216" i="1"/>
  <c r="T217" i="1"/>
  <c r="T218" i="1"/>
  <c r="T219" i="1"/>
  <c r="T220" i="1"/>
  <c r="T210" i="1"/>
  <c r="T97" i="1"/>
  <c r="T98" i="1"/>
  <c r="T99" i="1"/>
  <c r="T96" i="1"/>
  <c r="L323" i="1" l="1"/>
  <c r="L248" i="1"/>
  <c r="L112" i="1"/>
  <c r="L94" i="1"/>
  <c r="T14" i="1"/>
  <c r="T101" i="1"/>
  <c r="T230" i="1"/>
  <c r="T248" i="1" s="1"/>
  <c r="T250" i="1"/>
  <c r="T371" i="1"/>
  <c r="T369" i="1"/>
  <c r="T370" i="1"/>
  <c r="T367" i="1"/>
  <c r="Q365" i="1"/>
  <c r="Q372" i="1" s="1"/>
  <c r="Q405" i="1" s="1"/>
  <c r="P365" i="1"/>
  <c r="O365" i="1"/>
  <c r="R364" i="1"/>
  <c r="R372" i="1" s="1"/>
  <c r="R405" i="1" s="1"/>
  <c r="P364" i="1"/>
  <c r="O364" i="1"/>
  <c r="O372" i="1" l="1"/>
  <c r="O405" i="1" s="1"/>
  <c r="O406" i="1" s="1"/>
  <c r="P372" i="1"/>
  <c r="P405" i="1" s="1"/>
  <c r="T254" i="1"/>
  <c r="T256" i="1" s="1"/>
  <c r="T291" i="1" l="1"/>
  <c r="T292" i="1" s="1"/>
  <c r="T364" i="1"/>
  <c r="T365" i="1"/>
  <c r="T366" i="1" l="1"/>
  <c r="T368" i="1"/>
  <c r="T372" i="1" l="1"/>
  <c r="T111" i="1"/>
  <c r="T112" i="1" s="1"/>
  <c r="T289" i="1" l="1"/>
  <c r="T288" i="1"/>
  <c r="T389" i="1"/>
  <c r="T390" i="1" s="1"/>
  <c r="T405" i="1" s="1"/>
  <c r="T290" i="1" l="1"/>
  <c r="T323" i="1" s="1"/>
  <c r="T45" i="1"/>
  <c r="L363" i="1"/>
  <c r="L405" i="1" s="1"/>
  <c r="L406" i="1" s="1"/>
  <c r="C420" i="1" l="1"/>
  <c r="Q147" i="1"/>
  <c r="T147" i="1" s="1"/>
  <c r="Q146" i="1"/>
  <c r="T146" i="1" s="1"/>
  <c r="Q145" i="1"/>
  <c r="P145" i="1"/>
  <c r="R144" i="1"/>
  <c r="Q144" i="1"/>
  <c r="P144" i="1"/>
  <c r="Q143" i="1"/>
  <c r="P143" i="1"/>
  <c r="R142" i="1"/>
  <c r="Q142" i="1"/>
  <c r="P142" i="1"/>
  <c r="T141" i="1"/>
  <c r="Q140" i="1"/>
  <c r="P140" i="1"/>
  <c r="Q139" i="1"/>
  <c r="P139" i="1"/>
  <c r="Q138" i="1"/>
  <c r="P138" i="1"/>
  <c r="Q137" i="1"/>
  <c r="P137" i="1"/>
  <c r="T136" i="1"/>
  <c r="Q135" i="1"/>
  <c r="T135" i="1" s="1"/>
  <c r="T134" i="1"/>
  <c r="Q133" i="1"/>
  <c r="P133" i="1"/>
  <c r="Q132" i="1"/>
  <c r="P132" i="1"/>
  <c r="R131" i="1"/>
  <c r="T131" i="1" s="1"/>
  <c r="Q130" i="1"/>
  <c r="T130" i="1" s="1"/>
  <c r="R129" i="1"/>
  <c r="T129" i="1" s="1"/>
  <c r="R128" i="1"/>
  <c r="T128" i="1" s="1"/>
  <c r="R127" i="1"/>
  <c r="Q127" i="1"/>
  <c r="R126" i="1"/>
  <c r="Q126" i="1"/>
  <c r="R120" i="1"/>
  <c r="Q120" i="1"/>
  <c r="Q119" i="1"/>
  <c r="P119" i="1"/>
  <c r="R118" i="1"/>
  <c r="Q118" i="1"/>
  <c r="R117" i="1"/>
  <c r="Q117" i="1"/>
  <c r="P117" i="1"/>
  <c r="R115" i="1"/>
  <c r="Q115" i="1"/>
  <c r="P115" i="1"/>
  <c r="Q114" i="1"/>
  <c r="P148" i="1" l="1"/>
  <c r="R148" i="1"/>
  <c r="Q148" i="1"/>
  <c r="T138" i="1"/>
  <c r="T139" i="1"/>
  <c r="T117" i="1"/>
  <c r="T126" i="1"/>
  <c r="T143" i="1"/>
  <c r="T145" i="1"/>
  <c r="T142" i="1"/>
  <c r="T119" i="1"/>
  <c r="T133" i="1"/>
  <c r="T127" i="1"/>
  <c r="T120" i="1"/>
  <c r="T140" i="1"/>
  <c r="T115" i="1"/>
  <c r="T132" i="1"/>
  <c r="T144" i="1"/>
  <c r="T118" i="1"/>
  <c r="T137" i="1"/>
  <c r="T114" i="1"/>
  <c r="Q206" i="1" l="1"/>
  <c r="Q406" i="1" s="1"/>
  <c r="R206" i="1"/>
  <c r="R406" i="1" s="1"/>
  <c r="P206" i="1"/>
  <c r="P406" i="1" s="1"/>
  <c r="T148" i="1"/>
  <c r="T206" i="1" l="1"/>
  <c r="T406" i="1" s="1"/>
</calcChain>
</file>

<file path=xl/sharedStrings.xml><?xml version="1.0" encoding="utf-8"?>
<sst xmlns="http://schemas.openxmlformats.org/spreadsheetml/2006/main" count="913" uniqueCount="536">
  <si>
    <t>№ п/п</t>
  </si>
  <si>
    <t>Объекты государственного аудита</t>
  </si>
  <si>
    <t>Тип гос. Аудита</t>
  </si>
  <si>
    <r>
      <rPr>
        <b/>
        <sz val="18"/>
        <rFont val="Times New Roman"/>
        <family val="1"/>
        <charset val="204"/>
      </rPr>
      <t>Вид проверки</t>
    </r>
  </si>
  <si>
    <t>Краткое наименование аудиторского мероприятия</t>
  </si>
  <si>
    <t>Сроки по аудиторскому мероприятию (указываются в разбивке по кварталам)</t>
  </si>
  <si>
    <t xml:space="preserve">Примечание </t>
  </si>
  <si>
    <t>подготовительный</t>
  </si>
  <si>
    <t>основной</t>
  </si>
  <si>
    <t>заключительный</t>
  </si>
  <si>
    <t>Источник финансирования</t>
  </si>
  <si>
    <t>Код администратора бюджетной программы</t>
  </si>
  <si>
    <t>Номер бюджетной программы</t>
  </si>
  <si>
    <t>за предыдущие года, ранее 2017 года</t>
  </si>
  <si>
    <t>на 2017 год</t>
  </si>
  <si>
    <t>на 2018 год</t>
  </si>
  <si>
    <t>на 2019 год</t>
  </si>
  <si>
    <t>на 2020 год</t>
  </si>
  <si>
    <t>на 2021 год</t>
  </si>
  <si>
    <t>на 2022 год</t>
  </si>
  <si>
    <r>
      <rPr>
        <b/>
        <sz val="18"/>
        <rFont val="Times New Roman"/>
        <family val="1"/>
        <charset val="204"/>
      </rPr>
      <t xml:space="preserve">всего </t>
    </r>
  </si>
  <si>
    <t>11</t>
  </si>
  <si>
    <t>1. ГУ  "Министерство индустрии и инфраструктурного развития Республики Казахстан"</t>
  </si>
  <si>
    <t>Аудит эффективности, аудит соответствия</t>
  </si>
  <si>
    <t>Внешний государственный аудит</t>
  </si>
  <si>
    <t>1 квартал 
2023 года</t>
  </si>
  <si>
    <t>1 квартал 2023 года</t>
  </si>
  <si>
    <t>РБ</t>
  </si>
  <si>
    <t>НФ</t>
  </si>
  <si>
    <t>2 квартал 
2023 года</t>
  </si>
  <si>
    <t>3 квартал 2023 года</t>
  </si>
  <si>
    <t xml:space="preserve">Аудит эффективности, аудит соответствия </t>
  </si>
  <si>
    <t>3 квартал 
2023 года</t>
  </si>
  <si>
    <t>1. ГУ "Управление экономики и бюджетного планирования Актюбинской области"</t>
  </si>
  <si>
    <t>1 квартал 2024 года</t>
  </si>
  <si>
    <t>6. ГУ "Управление энергетики и жилищно-коммунального хозяйства Актюбинской области"</t>
  </si>
  <si>
    <t>1. ГУ "Министерство культуры и спорта Республики Казахстан"</t>
  </si>
  <si>
    <t>Государственный аудит эффективности использования бюджетных средств, выделенных АО "НК "Kazakh Tourism" на реализацию задач по продвижению казахстанского туризма</t>
  </si>
  <si>
    <t>2 квартал 2023 года</t>
  </si>
  <si>
    <t>Активы</t>
  </si>
  <si>
    <t>2-3 кварталы 2023 года</t>
  </si>
  <si>
    <t xml:space="preserve">Аудит эффективности </t>
  </si>
  <si>
    <t>4 квартал 2023 года</t>
  </si>
  <si>
    <t>1. ГУ "Министерство по чрезвычайным ситуациям Республики Казахстан"</t>
  </si>
  <si>
    <t>Аудит эффективности</t>
  </si>
  <si>
    <t xml:space="preserve">1-2 кварталы 2023 года </t>
  </si>
  <si>
    <t>002</t>
  </si>
  <si>
    <t>1. ГУ "Комитет казначейства Министерства финансов Республики Казахстан"</t>
  </si>
  <si>
    <t>Аудит эффективности, аудит соотвествия</t>
  </si>
  <si>
    <t>Совместный аудит</t>
  </si>
  <si>
    <t>Аудит эффективности реализации мер, связанных с подушевым финансированием, а также реализация проектов государственно-частного партнерства в среднем образовании</t>
  </si>
  <si>
    <t xml:space="preserve">1 квартал 2023 года
</t>
  </si>
  <si>
    <t>099/113</t>
  </si>
  <si>
    <t>099/127</t>
  </si>
  <si>
    <t>МБ</t>
  </si>
  <si>
    <t>096/015</t>
  </si>
  <si>
    <t>108/000</t>
  </si>
  <si>
    <t>Встречные объекты аудита:</t>
  </si>
  <si>
    <t>Внешний государственный аудит, параллельная проверка</t>
  </si>
  <si>
    <t>Государственный аудит эффективности использования бюджетных средств и активов государства, выделенных Мангистауской области</t>
  </si>
  <si>
    <t>037/050/055/056</t>
  </si>
  <si>
    <t>1. ГУ "Министерство просвещения Республики Казахстан"</t>
  </si>
  <si>
    <t>Аудит эффективности использования бюджетных средств и активов государства в аэрокосмической промышленности</t>
  </si>
  <si>
    <t>Оценка деятельности Министерства торговли и интеграции Республики Казахстан и его подведомственных организаций</t>
  </si>
  <si>
    <t>3-4 кварталы 2023 года</t>
  </si>
  <si>
    <t>061</t>
  </si>
  <si>
    <t>1. ГУ "Министерство обороны Республики Казахстан"</t>
  </si>
  <si>
    <t>Государственный аудит эффективности деятельности Министерства обороны Республики Казахстан по реализации государственной политики в области обеспечения обороноспособности и военной безопасности Республики Казахстан</t>
  </si>
  <si>
    <t>3 квартал 
2022 года</t>
  </si>
  <si>
    <t>3-4 кварталы 2022 года</t>
  </si>
  <si>
    <t>001</t>
  </si>
  <si>
    <t>Привлекается</t>
  </si>
  <si>
    <t>1-2 кварталы 2023 года</t>
  </si>
  <si>
    <t>1. ГУ "Министерство юстиции Республики Казахстан"</t>
  </si>
  <si>
    <t>1. ГУ "Комитет государственных доходов Министерства финансов Республики Казахстан"</t>
  </si>
  <si>
    <t>Государственный аудит эффективности налогового и таможенного администрирования</t>
  </si>
  <si>
    <t>1 квартал 2023</t>
  </si>
  <si>
    <t>1. ГУ "Министерство финансов Республики Казахстан"</t>
  </si>
  <si>
    <t>Аудит финансовой отчетности</t>
  </si>
  <si>
    <t>внешний государственный аудит</t>
  </si>
  <si>
    <t>Государственный аудит консолидированной финансовой отчетности республиканского бюджета</t>
  </si>
  <si>
    <t>2. ГУ "Комитет казначейства Министерства финансов Республики Казахстан"</t>
  </si>
  <si>
    <t>Аудит соответствия</t>
  </si>
  <si>
    <t>совместная проверка</t>
  </si>
  <si>
    <t>2-3 кварталы 2023</t>
  </si>
  <si>
    <t>2. Министерство финансов Республики Беларусь (г. Минск)</t>
  </si>
  <si>
    <t>3. Межрегиональное операционное управление Федерального казначейства (г. Москва)</t>
  </si>
  <si>
    <t>4. Центральное Казначейство Министерства финансов Кыргызской Республики</t>
  </si>
  <si>
    <t>5. Министерство финансов Республики Армения</t>
  </si>
  <si>
    <t xml:space="preserve">1. ГУ "Министерство финансов Республики Казахстан" </t>
  </si>
  <si>
    <t xml:space="preserve">Внешний государственный аудит </t>
  </si>
  <si>
    <t>1. Евразийская экономическая комиссия</t>
  </si>
  <si>
    <t>Совместная проверка</t>
  </si>
  <si>
    <t>Внешний аудит (контроль) исполнения бюджета Евразийского экономического союза в 2022 году, в I полугодий 2023 году и формирования бюджета на 2024 год (последующий, текущий и предварительный аудит)</t>
  </si>
  <si>
    <t>1-3 кварталы 2023 года</t>
  </si>
  <si>
    <t xml:space="preserve">2. Суд Евразийского экономического союза </t>
  </si>
  <si>
    <t/>
  </si>
  <si>
    <t>Итого</t>
  </si>
  <si>
    <t>1. ГУ "Ревизионная комиссия по Мангистауской области"</t>
  </si>
  <si>
    <t>Проверка, контроль</t>
  </si>
  <si>
    <t>Оценка в плановом порядке деятельности Ревизионной комиссии по Мангистауской области</t>
  </si>
  <si>
    <t>Всего по аудиторскому мероприятию 1</t>
  </si>
  <si>
    <t>1. ГУ "Ревизионная комиссия по Актюбинской области"</t>
  </si>
  <si>
    <t>Оценка в плановом порядке деятельности Ревизионной комиссии по Актюбинской области</t>
  </si>
  <si>
    <t xml:space="preserve">3-4 кварталы 2023 года </t>
  </si>
  <si>
    <t>Бортник М.М.</t>
  </si>
  <si>
    <t>Нуржанов Н.А.</t>
  </si>
  <si>
    <t>Нурпеисов Р.Е.</t>
  </si>
  <si>
    <t>Рахимов Р.Н.</t>
  </si>
  <si>
    <t>Тенгебаев А.М.</t>
  </si>
  <si>
    <t>Энгель Ю.Ф.</t>
  </si>
  <si>
    <t>ЧВАП (Ахметов Р.С.)</t>
  </si>
  <si>
    <t>ЧВАП (Бергенев АС.)</t>
  </si>
  <si>
    <t>Аудит  соответствия</t>
  </si>
  <si>
    <t xml:space="preserve">4-квартал 2022 года -1 квартал 2023 года </t>
  </si>
  <si>
    <t xml:space="preserve">1 квартал 2023 года </t>
  </si>
  <si>
    <t>Всего по аудиторскому мероприятию</t>
  </si>
  <si>
    <t>Член ВАП</t>
  </si>
  <si>
    <t>3. ГУ "Управление образования Мангистауской области"</t>
  </si>
  <si>
    <t>7. ГУ "Управление пассажирского транспорта и автомобильных дорог Мангистауской области"</t>
  </si>
  <si>
    <t xml:space="preserve">Итого </t>
  </si>
  <si>
    <t>Государственный аудит эффективности реализации политики в области развития конкуренции и ограничения монополистической деятельности</t>
  </si>
  <si>
    <t>3 квартал 2022 года</t>
  </si>
  <si>
    <t xml:space="preserve">2. РГУ "Департамент Агентства по защите и развитию конкуренции Республики Казахстан по городу Астана" </t>
  </si>
  <si>
    <t>3. РГУ "Департамент Агентства по защите и развитию конкуренции Республики Казахстан по городу Алматы"</t>
  </si>
  <si>
    <t>4. РГУ "Департамент Агентства по защите и развитию конкуренции Республики Казахстан по Актюбинской области"</t>
  </si>
  <si>
    <t xml:space="preserve">Прогноз по планируемым суммам охвата гос. аудитом бюджетных средств и активов в разрезе по годам (млн. тенге) </t>
  </si>
  <si>
    <t>4 квартал 2023 года - 
1 квартал 2024 года</t>
  </si>
  <si>
    <t>1. ГУ "Министерства торговли и интеграции Республики Казахстан"</t>
  </si>
  <si>
    <t>5. РГУ "Войсковая часть 18405" Министерства обороны Республики Казахстан</t>
  </si>
  <si>
    <t>6. РГУ "Войсковая часть 60601" Министерства обороны Республики Казахстан</t>
  </si>
  <si>
    <t>7. РГУ "Войсковая часть 06708" Министерства обороны Республики Казахстан</t>
  </si>
  <si>
    <t>9. РГУ "Войсковая часть 32388" Министерства обороны Республики Казахстан</t>
  </si>
  <si>
    <t>10. РГУ "Войсковая часть 44293" Министерства обороны Республики Казахстан</t>
  </si>
  <si>
    <t>11. РГУ "Войсковая часть 44793" Министерства обороны Республики Казахстан</t>
  </si>
  <si>
    <t>12. РГУ "Войсковая часть 50185" Министерства обороны Республики Казахстан</t>
  </si>
  <si>
    <t>13. РГУ "Войсковая часть 97638" Министерства обороны Республики Казахстан</t>
  </si>
  <si>
    <t>15. РГУ "Войсковая часть 41433" Министерства обороны Республики Казахстан</t>
  </si>
  <si>
    <t>16. РГУ "Войсковая часть 75488" Министерства обороны Республики Казахстан</t>
  </si>
  <si>
    <t>17. РГУ "Войсковая часть 29011" Министерства обороны Республики Казахстан</t>
  </si>
  <si>
    <t>18. РГУ "Войсковая часть 30153" Министерства обороны Республики Казахстан</t>
  </si>
  <si>
    <t>19. РГУ "Управление командующего Десантно-штурмовыми войсками Сухопутных войск Вооруженных Сил Республики Казахстан" Министерства обороны Республики Казахстан</t>
  </si>
  <si>
    <t>20. РГУ "Войсковая часть 29219" Министерства обороны Республики Казахстан</t>
  </si>
  <si>
    <t>21. РГУ "Войсковая часть 16194" Министерства обороны Республики Казахстан</t>
  </si>
  <si>
    <t>22. РГУ "Войсковая часть 62064" Министерства обороны Республики Казахстан</t>
  </si>
  <si>
    <t>23. РГУ "Войсковая часть 55078" Министерства обороны Республики Казахстан</t>
  </si>
  <si>
    <t>Анализ и оценка эффективности реализации проектов государственно-частного партнерства, концессионных проектов</t>
  </si>
  <si>
    <t>2-3 кварталы 
2023 года</t>
  </si>
  <si>
    <t>015</t>
  </si>
  <si>
    <t>219</t>
  </si>
  <si>
    <t>4 квартал 2023 года - 1 квартал 2024 года</t>
  </si>
  <si>
    <t>1-2 кварталы 2024 года</t>
  </si>
  <si>
    <t xml:space="preserve"> 1 квартал 2024 года</t>
  </si>
  <si>
    <t>3-4 кварталы 
2022 года</t>
  </si>
  <si>
    <t>14. РГУ "Управление командующего войсками регионального командования "Запад" Министерства обороны Республики Казахстан</t>
  </si>
  <si>
    <t>8. РГУ "Управление командующего войсками регионального командования "Восток" Министерства обороны Республики Казахстан</t>
  </si>
  <si>
    <t>4. РГУ "Управление командующего войсками регионального командования "Астана" Министерства обороны Республики Казахстан</t>
  </si>
  <si>
    <t>2. РГУ "Войсковая часть 23366" Министерства обороны Республики Казахстан</t>
  </si>
  <si>
    <t>3. РГУ "Войсковая часть 68665" Министерства обороны Республики Казахстан</t>
  </si>
  <si>
    <t>1. ГУ "Министерство труда и социальной защиты населения Республики Казахстан"</t>
  </si>
  <si>
    <t>2. АО "Компания по страхованию жизни "Государственная аннуитетная компания"</t>
  </si>
  <si>
    <t>3. АО "Центр развития трудовых ресурсов"</t>
  </si>
  <si>
    <t>1. ГУ "Министерство экологии и природных ресурсов Республики Казахстан"</t>
  </si>
  <si>
    <t xml:space="preserve">1. ГУ "Аппарат Правительства Республики Казахстан" </t>
  </si>
  <si>
    <t>041-101</t>
  </si>
  <si>
    <t xml:space="preserve">042-000 </t>
  </si>
  <si>
    <t xml:space="preserve">012-032 </t>
  </si>
  <si>
    <t xml:space="preserve">046-033 </t>
  </si>
  <si>
    <t xml:space="preserve">077-011 </t>
  </si>
  <si>
    <t>077-032</t>
  </si>
  <si>
    <t xml:space="preserve">053-013 </t>
  </si>
  <si>
    <t>019-011</t>
  </si>
  <si>
    <t>019-032</t>
  </si>
  <si>
    <t xml:space="preserve">012-011 </t>
  </si>
  <si>
    <t xml:space="preserve">Совместная проверка с ревизионными комиссиями по г. Астана,  Карагандинской,  Западно-Казахстанской областей и параллельная проверка с остальными ревизионными комиссиями областей, городов республиканского значения, привлеченные эксперты </t>
  </si>
  <si>
    <t>РБ, НФ</t>
  </si>
  <si>
    <t>1. ГУ "Министерство энергетики Республики Казахстан"</t>
  </si>
  <si>
    <t>2. РГУ "Комитет по делам строительства и жилищно-коммунального хозяйства Министерства индустрии и инфраструктурного развития Республики Казахстан"</t>
  </si>
  <si>
    <t>3. РГУ "Комитет по регулированию естественных монополий Министерства национальной экономики Республики Казахстан"</t>
  </si>
  <si>
    <t>4. ГУ "Управление топливно-энергетического комплекса и коммунального хозяйства города Астаны"</t>
  </si>
  <si>
    <t>5. АО "Астана-Теплотранзит"</t>
  </si>
  <si>
    <t>6. АО "Астана-Энергия"</t>
  </si>
  <si>
    <t>7. ГУ "Департамент Комитета по регулированию естественных монополий и защите конкуренции Министерства национальной экономики Республики Казахстан по Западно-Казахстанской области"</t>
  </si>
  <si>
    <t>8. ГУ "Управление энергетики и жилищно-коммунального хозяйства Западно-Казахстанской области"</t>
  </si>
  <si>
    <t>9. ГУ "Отдел жилищно-коммунального хозяйства, пассажирского транспорта и автомобильных дорог города Уральска"</t>
  </si>
  <si>
    <t>10 АО "Жайыктеплоэнерго"</t>
  </si>
  <si>
    <t>11. ГУ "Департамент Комитета по регулированию естественных монополий и защите конкуренции Министерства национальной экономики Республики Казахстан по Карагандинской области"</t>
  </si>
  <si>
    <t>12. ГУ "Управление энергетики и жилищно-коммунального хозяйства Карагандинской области"</t>
  </si>
  <si>
    <t>13. ГУ "Отдел строительства города Караганды"</t>
  </si>
  <si>
    <t>14. ТОО "Шахтинсктеплоэнерго"</t>
  </si>
  <si>
    <t>15. ТОО "Теплотранзит Караганда"</t>
  </si>
  <si>
    <t>16. ГУ "Отдел жилищно-коммунального хозяйства, пассажирского транспорта, автомобильных дорог и жилищной инспекции акимата города Аркалык"</t>
  </si>
  <si>
    <t>17. КГП "Аркалыкская теплоэнергетическая компания"</t>
  </si>
  <si>
    <t xml:space="preserve"> 1 квартал 2023 года </t>
  </si>
  <si>
    <t>1. АО "Қазтеміртранс"</t>
  </si>
  <si>
    <t>1. АО "Совместное Казахстанско-Российское предприятие "Байтерек"</t>
  </si>
  <si>
    <t xml:space="preserve">Государственный аудит деятельности АО "Совместное Казахстанско-Российское предприятие "Байтерек" по отдельным вопросам  </t>
  </si>
  <si>
    <t>2. РГУ "Комитет гражданской авиации Министерства индустрии и инфраструктурного развития Республики Казахстан" </t>
  </si>
  <si>
    <t>5. АО "Авиационная администрация Казахстана"</t>
  </si>
  <si>
    <t>249-021</t>
  </si>
  <si>
    <t>249-013</t>
  </si>
  <si>
    <t>249-093</t>
  </si>
  <si>
    <t>242-116</t>
  </si>
  <si>
    <t>активы</t>
  </si>
  <si>
    <t>3. ГУ "Управление пассажирского транспорта и автомобильных дорог области Жетісу"</t>
  </si>
  <si>
    <t>4. ГУ "Управление пассажирского транспорта и автомобильных дорог Восточно-Казахстанской области"</t>
  </si>
  <si>
    <t>6. РГП на ПХВ "Казаэронавигация" Комитет гражданской авиации Министерства индустрии и инфраструктурного развития Республики Казахстан"</t>
  </si>
  <si>
    <t>056/068/001</t>
  </si>
  <si>
    <t>2.РГУ "Главное диспетчерское управление Комитета государственных доходов Министерства финансов"</t>
  </si>
  <si>
    <t>Государственный аудит эффективности реализации политики в области гражданской авиации, использования активов государства и обеспечения авиационным топливом субъектов гражданской авиации</t>
  </si>
  <si>
    <t>207-001</t>
  </si>
  <si>
    <t>207-037</t>
  </si>
  <si>
    <t>207-038</t>
  </si>
  <si>
    <t>207-039</t>
  </si>
  <si>
    <t>207-044</t>
  </si>
  <si>
    <t>2. РГУ "Комитет экологического регулирования и контроля Министерства экологии и природных ресурсов Республики Казахстан"</t>
  </si>
  <si>
    <t>4. ГУ "Городской отдел жилищно-коммунального хозяйства, пассажирского транспорта и автомобильных дорог"</t>
  </si>
  <si>
    <t>4 квартал 2022 года - 
1 квартал 2023 года</t>
  </si>
  <si>
    <t>1-2 кварталы 
2023 года</t>
  </si>
  <si>
    <t>056/068/001/027</t>
  </si>
  <si>
    <t>Государственный аудит эффективности деятельности акционерных обществ "Компания по страхованию жизни "Государственная аннуитетная компания" и "Центр   развития трудовых ресурсов", а также использования средств республиканского бюджета, выделенных на выплату пенсий и пособий инвалидам на примере Акмолинской области</t>
  </si>
  <si>
    <t xml:space="preserve">4. РГУ "Департамент Комитета труда и социальной защиты Министерства труда и социальной защиты населения Республики Казахстан по Акмолинской области" </t>
  </si>
  <si>
    <t xml:space="preserve">Государственный аудит эффективности использования бюджетных средств выделенных  Аппарату Правительства Республики Казахстан </t>
  </si>
  <si>
    <t>001 103</t>
  </si>
  <si>
    <t>008</t>
  </si>
  <si>
    <t>009</t>
  </si>
  <si>
    <t>010 100</t>
  </si>
  <si>
    <t>010 101</t>
  </si>
  <si>
    <t>010 102</t>
  </si>
  <si>
    <t>010 103</t>
  </si>
  <si>
    <t>011</t>
  </si>
  <si>
    <t>105</t>
  </si>
  <si>
    <t>131</t>
  </si>
  <si>
    <t>Встречный объект аудита:</t>
  </si>
  <si>
    <t xml:space="preserve">4 квартал                            2022 года                                      2 квартал                                     2023 года                                                   </t>
  </si>
  <si>
    <t xml:space="preserve"> 2 квартал 2023 года                                                                                               </t>
  </si>
  <si>
    <t>002-102</t>
  </si>
  <si>
    <t>002-111</t>
  </si>
  <si>
    <t>007-000</t>
  </si>
  <si>
    <t>025-000</t>
  </si>
  <si>
    <t>002-103</t>
  </si>
  <si>
    <t>29. Учреждение "Комплекс элитарной школы-детского садика" Сенім"</t>
  </si>
  <si>
    <t>21. Частное учреждение "Комплекс Школа-детский сад"БЕЙБАРЫС БИ"</t>
  </si>
  <si>
    <t>1. ГУ "Управление экономики и бюджетного планирования Мангистауской области"</t>
  </si>
  <si>
    <t>2. ГУ "Управление финансов Мангистауской области"</t>
  </si>
  <si>
    <t>РБ/МБ</t>
  </si>
  <si>
    <t>067/003/082/203/109/040</t>
  </si>
  <si>
    <t>4. ГУ "Управление строительства, архитектуры и градостроительства Мангистауской области"</t>
  </si>
  <si>
    <t>093/038/012</t>
  </si>
  <si>
    <t>5. ГУ "Управление сельского хозяйства Мангистауской области"</t>
  </si>
  <si>
    <t>6. ГУ "Управление предпринимательства и торговли Мангистауской области"</t>
  </si>
  <si>
    <t>006/007/082/008/027/015/035</t>
  </si>
  <si>
    <t>8. ГУ "Управление энергетики и жилищно-коммунального хозяйства Мангистауской области"</t>
  </si>
  <si>
    <t>108/071/038</t>
  </si>
  <si>
    <t>003/067/109/082</t>
  </si>
  <si>
    <t>003/067/082/203</t>
  </si>
  <si>
    <t>003/067/082</t>
  </si>
  <si>
    <t>037/076/078</t>
  </si>
  <si>
    <t>035/065</t>
  </si>
  <si>
    <t>006/007/027/015</t>
  </si>
  <si>
    <t>088/114</t>
  </si>
  <si>
    <t>002/114</t>
  </si>
  <si>
    <t>114</t>
  </si>
  <si>
    <t>004/009</t>
  </si>
  <si>
    <t>Внешний государственный аудит, совместная проверка с ревизионной комиссией, параллельная проверка с Комитетом внутреннего государственного аудита</t>
  </si>
  <si>
    <t>003/004/058</t>
  </si>
  <si>
    <t>079/006/005</t>
  </si>
  <si>
    <t xml:space="preserve">18. ГУ "Актауский городской отдел строительства" </t>
  </si>
  <si>
    <t>Государственный аудит эффективности финансово-хозяйственной деятельности РГП «Казводхоз», в том числе при использовании средств, выделенных в рамках международных займов</t>
  </si>
  <si>
    <t xml:space="preserve"> 2-3 кварталы 2023  года </t>
  </si>
  <si>
    <t>28. Филиал "Международная школа города Астана" Автономной организации образования "НАЗАРБАЕВ ИНТЕЛЛЕКТУАЛЬНЫЕ ШКОЛЫ"</t>
  </si>
  <si>
    <t>27. РГП на ПХВ "Казарнаулыэкспорт" (Казспецэкспорт) Комитета государственного оборонного заказа Министерства индустрии и инфраструктурного развития Республики Казахстан</t>
  </si>
  <si>
    <t>2. Филиал по городу Астана Некоммерческого акционерного общества "Фонд социального медицинского страхования"</t>
  </si>
  <si>
    <t>3. Филиал по городу Алматы Некоммерческого акционерного общества "Фонд социального медицинского страхования"</t>
  </si>
  <si>
    <t>4. Филиал по Алматинской области Некоммерческого акционерного общества "Фонд социального медицинского страхования"</t>
  </si>
  <si>
    <t>5. Филиал по Карагандинской области Некоммерческого акционерного общества "Фонд социального медицинского страхования"</t>
  </si>
  <si>
    <t>6. Филиал Восточно-Казахстанской Некоммерческого акционерного общества "Фонд социального медицинского страхования</t>
  </si>
  <si>
    <t>Аудит эффективности, аудит соответствия, экспертно-аналитическое мероприятие</t>
  </si>
  <si>
    <t>Государственный аудит эффективности управления активами Фонда социального медицинского страхования и использования средств республиканского бюджета, выделенных НАО "Фонд социального медицинского страхования"</t>
  </si>
  <si>
    <t>4 квартал 2022 года - 1 квартал 2023 года</t>
  </si>
  <si>
    <t>Активы, бюджетные средства</t>
  </si>
  <si>
    <t xml:space="preserve">3 квартал             2022 года
</t>
  </si>
  <si>
    <t>066/067</t>
  </si>
  <si>
    <t>4. РГП на ПХВ «Национальный институт интеллектуальной собственности Министерства юстиции Республики Казахстан»</t>
  </si>
  <si>
    <t>Государственный аудит эффективности использования средств республиканского бюджета, выделенных Министерству юстиции Республики Казахстан по отдельным бюджетным программам, а также использование активов субъектами квазигосударственного сектора Министерства юстиции Республики Казахстан</t>
  </si>
  <si>
    <t>3 кварталы 2023 года</t>
  </si>
  <si>
    <t>5. ГУ «Управление строительства города Астаны»</t>
  </si>
  <si>
    <t>3. РГП на ПХВ «Институт законодательства и правовой информации Республики Казахстан» Министерства юстиции Республики Казахстан</t>
  </si>
  <si>
    <t>ОО1</t>
  </si>
  <si>
    <t>ОО5</t>
  </si>
  <si>
    <t>ОО6</t>
  </si>
  <si>
    <t>ОО9</t>
  </si>
  <si>
    <t>О47</t>
  </si>
  <si>
    <t>О59</t>
  </si>
  <si>
    <t>О60</t>
  </si>
  <si>
    <t>О61</t>
  </si>
  <si>
    <t>О65</t>
  </si>
  <si>
    <t>О66</t>
  </si>
  <si>
    <t>043</t>
  </si>
  <si>
    <t>2-3 квартал 2023 года</t>
  </si>
  <si>
    <t>3 квартал               2023 года</t>
  </si>
  <si>
    <t>2. РГУ "Комитет индустрии туризма Министерства культуры и спорта РК"</t>
  </si>
  <si>
    <t>3. АО "НК "Kazakh Tourism"</t>
  </si>
  <si>
    <t>1. НАО "Фонд социального медицинского страхования"</t>
  </si>
  <si>
    <t xml:space="preserve">Совместная проверка Контрольной палатой Республики Армения, Комитетом государственного контроля Республики Беларусь, Высшей аудиторской палатой Республики Казахстан, Счетной палатой Кыргызской Республики, Счетной палатой Российской Федерации соблюдения в 2022 году уполномоченными органами Республики Армения, Республики Беларусь, Республики Казахстан, Кыргызской Республики и Российской Федерации Протокола о порядке зачисления и распределения сумм ввозных таможенных пошлин (иных пошлин, налогов, и сборов, имеющих эквивалентное действие), их перечисления в доход бюджетов государств-членов Евразийского экономического союза (приложение №5 к Договору о Евразийском экономическом союзе) </t>
  </si>
  <si>
    <t>1 квартал                            2024 года</t>
  </si>
  <si>
    <t>4 квартал 
2023 года</t>
  </si>
  <si>
    <t xml:space="preserve">3 квартал 2023 года                                                                                         </t>
  </si>
  <si>
    <r>
      <t xml:space="preserve">Аудит эффективности, </t>
    </r>
    <r>
      <rPr>
        <sz val="18"/>
        <color rgb="FFFF0000"/>
        <rFont val="Times New Roman"/>
        <family val="1"/>
        <charset val="204"/>
      </rPr>
      <t>аудит соответствия</t>
    </r>
  </si>
  <si>
    <t>4 квартал                     2023 года</t>
  </si>
  <si>
    <t>1 квартал                       2024 года</t>
  </si>
  <si>
    <t xml:space="preserve">Государственный аудит эффективности управления государственным, гарантированным государством долгом, а также долгом отдельных субъектов квазигосударственного сектора
</t>
  </si>
  <si>
    <t>заемные средства</t>
  </si>
  <si>
    <t>011/013/020</t>
  </si>
  <si>
    <t>Государственный аудит эффективности деятельности Министерства экологии и природных ресурсов Республики Казахстан и его подведомственных организаций по отдельным направлениям</t>
  </si>
  <si>
    <t>2.  ГУ "Министерство национальной экономики Республики Казахстан"</t>
  </si>
  <si>
    <t>3. РГУ "Комитет автомобильных дорог Министерства индустрии и инфраструктурного развития Республики Казахстан"</t>
  </si>
  <si>
    <t xml:space="preserve">4. АО "НК "КазАвтоЖол" </t>
  </si>
  <si>
    <t>5. РГП "Национальный центр по комплексной переработке минерального сырья Республики Казахстан" Комитета индустриального развития Министерства индустрии и инфраструктурного развития Республики Казахстан</t>
  </si>
  <si>
    <t>6. ГКП "Кызылордатеплоэлектроцентр"</t>
  </si>
  <si>
    <t>7. АО "Кызылординская распределительная электросетевая компания"</t>
  </si>
  <si>
    <t>8. ГКП на ПХВ "Кызылорда су жүйесі"</t>
  </si>
  <si>
    <t>9. ТОО "Автобусный парк "Кызылорда"</t>
  </si>
  <si>
    <t>10. ГКП на ПХВ "Өскемен Водоканал"</t>
  </si>
  <si>
    <t>11. АО "Усть-Каменогорские тепловые сети"</t>
  </si>
  <si>
    <t>12. АО "Региональный центр государственно-частного партнерства Восточно-Казахстанской области"</t>
  </si>
  <si>
    <t>Государственный аудит эффективности использования бюджетных средств, выделенных Актюбинской области</t>
  </si>
  <si>
    <t xml:space="preserve">
2-3 кварталы 
2023 года 
</t>
  </si>
  <si>
    <t>2. ГУ "Управление предпринимательства Актюбинской области"</t>
  </si>
  <si>
    <t>3. ГУ "Управление строительства, архитектуры и градостроительства Актюбинской области"</t>
  </si>
  <si>
    <t>255/099/107</t>
  </si>
  <si>
    <t>243/087</t>
  </si>
  <si>
    <t>243/082</t>
  </si>
  <si>
    <t>4. ГУ «Отдел жилищно-коммунального хозяйства, пассажирского транспорта и автомобильных дорог города Актобе».</t>
  </si>
  <si>
    <t>249/228/101</t>
  </si>
  <si>
    <t>249/228/105</t>
  </si>
  <si>
    <t>243/082/115</t>
  </si>
  <si>
    <t>5. ГУ "Мартукский районный отдел архитектуры, градостроительства и строительства"</t>
  </si>
  <si>
    <t>241/003</t>
  </si>
  <si>
    <t>249/229/110</t>
  </si>
  <si>
    <t>7. ГУ "Байганинский районный отдел жилищно-коммунального хозяйства, пассажирского транспорта и автомобильных дорог"</t>
  </si>
  <si>
    <t>8. ГУ "Алгинский районный отдел жилищно-коммунального хозяйства, пассажирского транспорта и автомобильных дорог"</t>
  </si>
  <si>
    <t>241/003/055</t>
  </si>
  <si>
    <t>249/229/118</t>
  </si>
  <si>
    <t>249/091</t>
  </si>
  <si>
    <t>10. ГУ "Управление сельского хозяйства и земельных отношений Актюбинской области"</t>
  </si>
  <si>
    <t>249/110</t>
  </si>
  <si>
    <t>11. ГУ "Управление пассажирского транспорта и автомобильных дорог Актюбинской области"</t>
  </si>
  <si>
    <t>12. ГУ "Мугалжарский районный отдел жилищно-коммунального хозяйства, пассажирского транспорта и автомобильных дорог"</t>
  </si>
  <si>
    <t>13. ГУ "Темирский районный отдел жилищно-коммунального хозяйства, пассажирского транспорта и автомобильных дорог"</t>
  </si>
  <si>
    <t>14. ГУ "Уилский районный отдел архитектуры, строительства, жилищно-коммунального хозяиства, пассажирского транспорта и автомобильных дорог"</t>
  </si>
  <si>
    <t>на 2023 год</t>
  </si>
  <si>
    <t xml:space="preserve">9. ГУ "Хромтауский районный отдел жилищно-коммунального хозяйства, пассажирского транспорта и автомобильных дорог" </t>
  </si>
  <si>
    <t>6. РГУ "Комитет государственных доходов МФ РК"</t>
  </si>
  <si>
    <t>7. ТОО "Консалтинговая группа "Болашак"</t>
  </si>
  <si>
    <t xml:space="preserve">3-4 кварталы             2023 года
</t>
  </si>
  <si>
    <t>8. АО "Социально-предпринимательская корпорация "Алматы"</t>
  </si>
  <si>
    <t>17. АО "Информационно-учетный центр"</t>
  </si>
  <si>
    <t>Аудит эффективности, соответствия</t>
  </si>
  <si>
    <t>Аудит эффективности,  соответствия</t>
  </si>
  <si>
    <t xml:space="preserve">3 квартал                     2023 года                                          </t>
  </si>
  <si>
    <t xml:space="preserve">2. ГУ "Комитет государственного имущества и приватизации Министерства финансов Республики Казахстан" </t>
  </si>
  <si>
    <t>3. АО "Фонд национального благосостояния "Самрук-Қазына"</t>
  </si>
  <si>
    <t>4. АО "НК Казмунайгаз"</t>
  </si>
  <si>
    <t>5. АО "НАК Казатомпром"</t>
  </si>
  <si>
    <t>6. АО "НК "Қазақстан темір жолы"</t>
  </si>
  <si>
    <t>7. ГУ "Управление государственных активов города Алматы"</t>
  </si>
  <si>
    <t>9. ГУ "Управление активов и государственных закупок города Астана"</t>
  </si>
  <si>
    <t>10. АО «Социально-предпринимательская корпорация "ASTANA"</t>
  </si>
  <si>
    <t>11. ГУ "Управление финансов акимата Жамбылской области"</t>
  </si>
  <si>
    <t>12. ГУ "Отдел финансов акимата города Тараз Жамбылской области"</t>
  </si>
  <si>
    <t>13. ГУ "Управление финансов Павлодарской области"</t>
  </si>
  <si>
    <t>14. ГУ "Отдел государственных активов и закупок города Павлодар"</t>
  </si>
  <si>
    <t>15. ГУ "Отдел экономики и финансов акимата города Экибастуза"</t>
  </si>
  <si>
    <t>16. АО "Социально-предпринимательская корпорация "Павлодар"</t>
  </si>
  <si>
    <t xml:space="preserve">Государственный аудит соответствия использования средств, выделенных отдельным дочерним компаниям АО "Самрук-Энерго" на строительство и реконструкцию генерирующих мощностей </t>
  </si>
  <si>
    <t>065</t>
  </si>
  <si>
    <t>090</t>
  </si>
  <si>
    <t>101</t>
  </si>
  <si>
    <t>116</t>
  </si>
  <si>
    <t>109</t>
  </si>
  <si>
    <t>159</t>
  </si>
  <si>
    <t>120</t>
  </si>
  <si>
    <t xml:space="preserve">
4 квартал 2023 года - 
1 квартал 2024 года
</t>
  </si>
  <si>
    <t>1. ГУ "Министерство просвещения Республики Казахстан" (ранее - ГУ "Министерство образования и науки Республики Казахстан")</t>
  </si>
  <si>
    <t>2. ГУ "Комитет по обеспечению качества в сфере образования Министерства просвещения Республики Казахстан"</t>
  </si>
  <si>
    <t>4. ГУ "Управление образования Атырауской области"</t>
  </si>
  <si>
    <t>5. ГУ "Управление строительства города Астаны"</t>
  </si>
  <si>
    <t>6. ГУ "Управление образования города Астаны"</t>
  </si>
  <si>
    <t>7. ГУ "Департамент по обеспечению качества в сфере образования по г. Астана"</t>
  </si>
  <si>
    <t>8. ГУ "Департамент по обеспечению качества в сфере образования по г. Шымкент"</t>
  </si>
  <si>
    <t>9. ГУ "Департамент по обеспечению качества в сфере образования по Атырауской области"</t>
  </si>
  <si>
    <t>10. ГУ "Департамент по обеспечению качества в сфере образования по Туркестанской области"</t>
  </si>
  <si>
    <t xml:space="preserve">4 квартал 2022 года -               1 квартал 2023 года
</t>
  </si>
  <si>
    <t>2. РГУ "Комитет технического регулирования и метрологии Министерства торговли и интеграции Республики Казахстан"</t>
  </si>
  <si>
    <t xml:space="preserve">5. РГП на ПХВ "Казахстанский институт стандартизации и метрологии" Комитета технического регулирования и метрологии Министерства торговли и интеграции Республики Казахстан </t>
  </si>
  <si>
    <t>6. РГП на ПХВ "Национальный центр аккредитации" Комитета технического регулирования и метрологии Министерства торговли и интеграции Республики Казахстан</t>
  </si>
  <si>
    <t>250/102</t>
  </si>
  <si>
    <t>4-квартал 2023 года</t>
  </si>
  <si>
    <t>19. АО "Аграрная кредитная корпорация" филиал по Мангистауской области</t>
  </si>
  <si>
    <t xml:space="preserve">20. АО "НК "Социально-предпринимательская корпорация "Каспий" </t>
  </si>
  <si>
    <t>21. Региональный филиал АО "Фонд развития предпринимательства "Даму" по Мангистауской области</t>
  </si>
  <si>
    <t>17. ГУ "Актауский городской отдел пассажирского транспорта и автомобильных дорог"</t>
  </si>
  <si>
    <t>16. ГУ "Жанаозенский городской отдел пассажирского транспорта и автомобильных дорог"</t>
  </si>
  <si>
    <t>15. ГУ "Мунайлинский районный отдел жилищно-коммунального хозяйства, пассажирского транспорта и автомобильных дорог"</t>
  </si>
  <si>
    <t xml:space="preserve">14. ГУ "Жанаозенский  городской отдел строительства" </t>
  </si>
  <si>
    <t>13. ГУ "Мунайлинский районный отдел строительства, архитектуры  и градостроительства"</t>
  </si>
  <si>
    <t>12. КГУ "Общеобразовательная школа №21" Отдела образования по городу Жанаозен Управления образования Мангистауской области</t>
  </si>
  <si>
    <t>11. КГУ "Общеобразовательная школа №9" Отдела образования по Мунайлинскому району Управления образования Мангистауской области</t>
  </si>
  <si>
    <t>10. КГУ "Общеобразовательная школа №6" Отдела образования по Мунайлинскому району Управления образования Мангистауской области</t>
  </si>
  <si>
    <t>9. КГУ "Общеобразовательная средняя школа №21" Актауского городского отдела образования Управления образования Мангистауской области</t>
  </si>
  <si>
    <t>3. АО "Финансовый центр"</t>
  </si>
  <si>
    <t>11. ТОО "Binom Education"</t>
  </si>
  <si>
    <t>12. ТОО "KAZYGURT INTELLECTUAL SCHOOL"</t>
  </si>
  <si>
    <t>13. ТОО "M&amp;Керейхан Smart Мектебі"</t>
  </si>
  <si>
    <t>14. ТОО "A.Q. ORDA ZIATKERLIK MEKTEBI"</t>
  </si>
  <si>
    <t>15. ТОО "Farabi School"</t>
  </si>
  <si>
    <t>16. ТОО "Средняя школа имени Низамхана Сулайманова"</t>
  </si>
  <si>
    <t>17. ТОО "Комплекс" Начальная школа-детский сад "КЕРЕМЕТ"</t>
  </si>
  <si>
    <t>18. ТОО "Специализированная Школа Имени "АЛЬ-ФАРАБИ"</t>
  </si>
  <si>
    <t>19. ТОО "Мың бала бастауыш мектебі"</t>
  </si>
  <si>
    <t>20. ТОО "Средняя школа" НИЗАМХАН"</t>
  </si>
  <si>
    <t>22. ТОО "Школа MEGAPOLIS"</t>
  </si>
  <si>
    <t>23. ТОО "ЗИЯТКЕР-БІЛІМ"</t>
  </si>
  <si>
    <t>24. ТОО "AL-FARABI ACADEMIALYQ MEKTEBI"</t>
  </si>
  <si>
    <t>25. ТОО "Школа ADAN"</t>
  </si>
  <si>
    <t>26. ТОО "Школа" АРОФАТ"</t>
  </si>
  <si>
    <t>27. ТОО "Институт повышения квалификации руководящих работников дорожно-транспортного комплекса"</t>
  </si>
  <si>
    <t>30. ТОО "Baby City"</t>
  </si>
  <si>
    <t>31. ТОО "INNOVERSE ATYRAU"</t>
  </si>
  <si>
    <t xml:space="preserve">25. АО "Национальная компания" Казахстан инжиниринг "(Kazakhstan engineering)" </t>
  </si>
  <si>
    <t xml:space="preserve">26. ТОО "Казахстанская авиационная индустрия" </t>
  </si>
  <si>
    <t>1. АО "Самрук - Энерго"</t>
  </si>
  <si>
    <t>2. АО "Фонд национального благосостояния "Самрук-Қазына"</t>
  </si>
  <si>
    <t>3. АО "Станция Экибастузская ГРЭС - 2"</t>
  </si>
  <si>
    <t>4. ТОО "Экибастузская ГРЭС-1 имени Булата Нуржанова"</t>
  </si>
  <si>
    <t>2. ГУ "Комитет государственного оборонного заказа Министерства промышленности и строительства Республики Казахстан"</t>
  </si>
  <si>
    <t>3. ГУ "Министерство внутренних дел Республики Казахстан"</t>
  </si>
  <si>
    <t>4. ГУ "Министерство промышленности и строительства Республики Казахстан"</t>
  </si>
  <si>
    <t>4 квартал        2023 года</t>
  </si>
  <si>
    <t>1 квартал                      2024 года</t>
  </si>
  <si>
    <t xml:space="preserve">1. ГУ "Министерство просвещения Республики Казахстан" </t>
  </si>
  <si>
    <t xml:space="preserve">Проверка исполнения Предписания Высшей аудиторской палаты Республики Казахстан от 9 марта 2023 года № 4-1-Н </t>
  </si>
  <si>
    <t>3. АО "Центр развития торговой политики "QazTrade"</t>
  </si>
  <si>
    <t>4. АО "Национальная компания "QazExpoCongress"</t>
  </si>
  <si>
    <t>24. РГУ "Комитет государственного оборонного заказа Министерства индустрии и инфраструктурного развития Республики Казахстан"</t>
  </si>
  <si>
    <t>Государственный аудит эффективности управления в сфере теплоснабжения, целевого использования привлеченных финансовых средств и исполнения инвестиционных программ объектами производства и передачи тепловой энергии</t>
  </si>
  <si>
    <t>005-101</t>
  </si>
  <si>
    <t>3. РГУ "Комитет по гражданской обороне и воинским частям Министерства по чрезвычайным ситуациям Республики Казахстан"</t>
  </si>
  <si>
    <t>4. РГУ "Комитет противопожарной службы Министерства по чрезвычайным ситуациям Республики Казахстан"</t>
  </si>
  <si>
    <t>006-100</t>
  </si>
  <si>
    <t>1. РГП на ПХВ "Казводхоз" Комитета по водным ресурсам Министерства экологии и природных ресурсов Республики Казахстан</t>
  </si>
  <si>
    <t>2. РГУ "Комитет по государственным материальным резервам" МЧС РК</t>
  </si>
  <si>
    <t>1. РГУ "Аэрокосмический комитет Министерства цифрового развития, инноваций и аэрокосмической промышленности Республики Казахстан"</t>
  </si>
  <si>
    <t>2. АО "Национальная компания "Қазақстан Ғарыш Сапары"</t>
  </si>
  <si>
    <t>3. АО "Республиканский центр космической связи"</t>
  </si>
  <si>
    <t>4. ТОО "Ghalam"</t>
  </si>
  <si>
    <t>5. АО "Национальный центр космических исследований и технологий"</t>
  </si>
  <si>
    <t>6. Дочернее Товарищество с ограниченной ответственностью "Институт космической техники и технологий"</t>
  </si>
  <si>
    <t>7. ТОО "Астрофизический институт им. В.Г.Фесенкова"</t>
  </si>
  <si>
    <t>8. Дочернее товарищество с ограниченной ответственностью "Институт ионосферы"</t>
  </si>
  <si>
    <t>9. РГП на ПХВ "Инфракос" Аэрокосмического комитета Министерства цифрового развития, инноваций и аэрокосмической промышленности Республики Казахстан</t>
  </si>
  <si>
    <t xml:space="preserve">2. РГКП "Центр судебных экспертиз Министерства юстиции Республики Казахстан" </t>
  </si>
  <si>
    <t>001/102</t>
  </si>
  <si>
    <t>001/105</t>
  </si>
  <si>
    <t>001/106</t>
  </si>
  <si>
    <t>1. ГУ "Министерство национальной экономики Республики Казахстан"</t>
  </si>
  <si>
    <t>2. ГУ «Министерство транспорта Республики Казахстан»</t>
  </si>
  <si>
    <t>3. РГУ «Комитет автомобильны дорог»</t>
  </si>
  <si>
    <t>3 квартал                         2023 года</t>
  </si>
  <si>
    <t>1 квартал         2024 года</t>
  </si>
  <si>
    <t>4. ГУ "Министерство цифрового развития, инноваций и аэрокосмической промышленности РК"</t>
  </si>
  <si>
    <t>5. ГУ «Управление делами Президента Республики Казахстан»</t>
  </si>
  <si>
    <t>6. РГП на ПХВ «Больница Медицинского центра Управления делами Президента Республики Казахстан»</t>
  </si>
  <si>
    <t>7. АО "Казахстанский центр государственно-частного партнерства"</t>
  </si>
  <si>
    <t>8. ТОО "БАКАД инвестиции и операции"</t>
  </si>
  <si>
    <t>9. ТОО "Eurоtransit Terminal"</t>
  </si>
  <si>
    <t>3. АО "Жасыл Даму"</t>
  </si>
  <si>
    <t>1. ГУ "Министерство здравоохранения Республики Казахстан"</t>
  </si>
  <si>
    <t>3. РГП на ПХВ "Национальный центр экспертизы лекарственных средств и медицинских изделий"</t>
  </si>
  <si>
    <t>4. ТОО "СК-Фармация"</t>
  </si>
  <si>
    <t>Государственный аудит эффективности деятельности Министерства здравоохранения по обеспечению населения и объектов здравоохранения лекарственными средствами и изделиями медицинского назначения</t>
  </si>
  <si>
    <t xml:space="preserve">4-квартал          2023 года                   -1 квартал                                  2024 года </t>
  </si>
  <si>
    <t xml:space="preserve">1 квартал 2024 года </t>
  </si>
  <si>
    <t>2. РГУ "Комитет медицинского и фармацевтического контроля Министерства здравоохранения Республики Казахстан"</t>
  </si>
  <si>
    <t>6. ГУ "Департамент по чрезвычайным ситуациям города Алматы Министерства по чрезвычайным ситуациям Республики Казахстан"</t>
  </si>
  <si>
    <t>7. ГУ "Департамент по чрезвычайным ситуациям Восточно-Казахстанской области Министерства по чрезвычайным ситуациям Республики Казахстан"</t>
  </si>
  <si>
    <t>8. РГУ "Департамент Комитета промышленной безопасности Министерства по чрезвычайным ситуациям Республики Казахстан по Карагандинской области"</t>
  </si>
  <si>
    <t>9. РГУ "Департамент Комитета промышленной безопасности Министерства по чрезвычайным ситуациям Республики Казахстан по Павлодарской области"</t>
  </si>
  <si>
    <t>5. РГУ "Комитет промышленной безопасности Министерства по чрезвычайным ситуациям Республики Казахстан"</t>
  </si>
  <si>
    <t>10. ГУ "Служба пожаротушения и аварийно-спасательных работ Департамента по чрезвычайным ситуациям города Алматы Министерства по чрезвычайным ситуациям Республики Казахстан (город Алматы)"</t>
  </si>
  <si>
    <t>11. ГУ "Служба пожаротушения и аварийно-спасательных работ Департамента по чрезвычайным ситуациям Восточно-Казахстанской области Министерства по чрезвычайным ситуациям Республики Казахстан (город Усть-Каменогорск)"</t>
  </si>
  <si>
    <t>13. АО "Казавиаспас"</t>
  </si>
  <si>
    <t>14. РГП на ПХВ "Резерв" Комитета по государственным материальным резервам Министерства по чрезвычайным ситуациям Республики Казахстан</t>
  </si>
  <si>
    <t>15. РГП на ПХВ "Селденқорғау Құрылыс" Министерства по чрезвычайным ситуациям Республики Казахстан</t>
  </si>
  <si>
    <t>2 эксперта</t>
  </si>
  <si>
    <t>Государственный аудит эффективности деятельности Министерства по чрезвычайным ситуациям Республики Казахстан</t>
  </si>
  <si>
    <t xml:space="preserve">4 квартал 2023 года -               1 квартал 2024 года
</t>
  </si>
  <si>
    <t>12. ГУ "Казселезащита Министерства по чрезвычайным ситуациям Республики Казахстан"</t>
  </si>
  <si>
    <t>"Электронный государственный аудит эффективности использования вагонного парка АО "Қазтеміртранс"</t>
  </si>
  <si>
    <t>076</t>
  </si>
  <si>
    <t>229/249</t>
  </si>
  <si>
    <t>004</t>
  </si>
  <si>
    <t>5. РГУ "Главное командование Национальной гвардии Республики Казахстан"</t>
  </si>
  <si>
    <t>6. РГП на ПХВ "Қазарнаулыэкспорт (Казспецэкспорт)" Комитета государственного оборонного заказа Министерства промышленности и строительства Республики Казахстан</t>
  </si>
  <si>
    <t>7. ТОО "Kazakhstan Paramount Engineering" ("Казахстан Парамаунт Инжиниринг")</t>
  </si>
  <si>
    <t>8. ТОО "СемАЗ"</t>
  </si>
  <si>
    <t>9. АО «Семей инжиниринг»</t>
  </si>
  <si>
    <t xml:space="preserve"> 4 квартал 2023 года              1 квартал 2024 года</t>
  </si>
  <si>
    <t>1. ГУ "Агентство Республики Казахстан по защите и развитию конкуренции"</t>
  </si>
  <si>
    <t>«Государственный аудит эффективности политики государства  в  сфере приватизации, а также деятельности государственных органов и  субъектов
квазигосударственного сектора по формированию и исполнению комплексных планов приватизации на 2016-2020 и 2021-2025
(промежуточная оценка)
 годы»</t>
  </si>
  <si>
    <t>СЕКРЕТНО</t>
  </si>
  <si>
    <t xml:space="preserve">1. ГУ "Министерство транспорта Республики Казахстан" </t>
  </si>
  <si>
    <t>Государственный аудит эффективности использования средств республиканского бюджета, выделенных на развитие транспорта и  обеспечение государственного контроля в области транспорта</t>
  </si>
  <si>
    <t>092.100</t>
  </si>
  <si>
    <t>092.101</t>
  </si>
  <si>
    <t>212</t>
  </si>
  <si>
    <t>213</t>
  </si>
  <si>
    <t>2. Автономная организация образования "Назарбаев Интеллектуальные школы"</t>
  </si>
  <si>
    <t>3. Назарбаев Интеллектуальная школа города Астана</t>
  </si>
  <si>
    <t>4. Назарбаев Интеллектуальная школа физико-математического направления города Астана</t>
  </si>
  <si>
    <t>5. Назарбаев Интеллектуальная школа физико-математического направления города Алматы</t>
  </si>
  <si>
    <t>6. Назарбаев Интеллектуальная Школа химико-биологического направления города Алматы</t>
  </si>
  <si>
    <t>7. Назарбаев Интеллектуальная школа физико-математического направления города Актобе</t>
  </si>
  <si>
    <t>8. Назарбаев Интеллектуальная школа химико-биологического направления города Усть-Каменогорск</t>
  </si>
  <si>
    <t>9. Назарбаев Интеллектуальная Школа химико-биологического направления города Караганда</t>
  </si>
  <si>
    <t>10. Назарбаев Интеллектуальная школа физико-математического направления города Шымкент</t>
  </si>
  <si>
    <t>11. Назарбаев Интеллектуальная школа химико-биологического направления города Шымкент</t>
  </si>
  <si>
    <t>Государственный аудит эффективности использования средств республиканского бюджета, выделенных Автономной организации образования "Назарбаев Интеллектуальные школы" и ее региональным филиалам</t>
  </si>
  <si>
    <t>2-3 кварталы 
2024 года</t>
  </si>
  <si>
    <t>1-2 кварталы 
2024 года</t>
  </si>
  <si>
    <t>001/060</t>
  </si>
  <si>
    <t>099/101</t>
  </si>
  <si>
    <t xml:space="preserve">Проверка исполнения Предписания Высшей аудиторской палаты Республики Казахстан от 4 ноября 2021 года № 25-6-Н </t>
  </si>
  <si>
    <t>1. ГУ «Отдел инфраструктуры и коммуникацим" акимата города Туркестан</t>
  </si>
  <si>
    <t xml:space="preserve">№ 114-н/қ-Т от 20.12.2023 г.                                                                                                                            Перечень объектов государственного аудита Высшей аудиторской палаты на 2023 год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</si>
</sst>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* #,##0.00\ &quot;₽&quot;_-;\-* #,##0.00\ &quot;₽&quot;_-;_-* &quot;-&quot;??\ &quot;₽&quot;_-;_-@_-"/>
    <numFmt numFmtId="43" formatCode="_-* #,##0.00_-;\-* #,##0.00_-;_-* &quot;-&quot;??_-;_-@_-"/>
    <numFmt numFmtId="164" formatCode="_-* #,##0.00\ _₽_-;\-* #,##0.00\ _₽_-;_-* &quot;-&quot;??\ _₽_-;_-@_-"/>
    <numFmt numFmtId="165" formatCode="#,##0.0_р_."/>
    <numFmt numFmtId="166" formatCode="#,##0.0"/>
    <numFmt numFmtId="167" formatCode="_-* #,##0.0\ _₽_-;\-* #,##0.0\ _₽_-;_-* &quot;-&quot;??\ _₽_-;_-@_-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Times New Roman"/>
      <family val="1"/>
      <charset val="204"/>
    </font>
    <font>
      <b/>
      <sz val="26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8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18"/>
      <color rgb="FF000000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8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22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22"/>
      <color rgb="FF000000"/>
      <name val="Times New Roman"/>
      <family val="1"/>
      <charset val="204"/>
    </font>
    <font>
      <sz val="16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8"/>
      <color rgb="FFFF0000"/>
      <name val="Times New Roman"/>
      <family val="1"/>
      <charset val="204"/>
    </font>
    <font>
      <sz val="10"/>
      <name val="Arial Cyr"/>
      <charset val="204"/>
    </font>
    <font>
      <b/>
      <i/>
      <sz val="18"/>
      <name val="Times New Roman"/>
      <family val="1"/>
      <charset val="204"/>
    </font>
    <font>
      <b/>
      <sz val="22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22"/>
      <color theme="1"/>
      <name val="Times New Roman"/>
      <family val="1"/>
      <charset val="204"/>
    </font>
    <font>
      <b/>
      <sz val="18"/>
      <color rgb="FFFF0000"/>
      <name val="Times New Roman"/>
      <family val="1"/>
      <charset val="204"/>
    </font>
    <font>
      <sz val="20"/>
      <color theme="1"/>
      <name val="Times New Roman"/>
      <family val="1"/>
      <charset val="204"/>
    </font>
    <font>
      <b/>
      <i/>
      <sz val="18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9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42">
    <xf numFmtId="0" fontId="0" fillId="0" borderId="0" xfId="0"/>
    <xf numFmtId="0" fontId="5" fillId="2" borderId="0" xfId="0" applyFont="1" applyFill="1"/>
    <xf numFmtId="2" fontId="8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2" borderId="1" xfId="0" applyFont="1" applyFill="1" applyBorder="1" applyAlignment="1" applyProtection="1">
      <alignment horizontal="center" vertical="center" wrapText="1"/>
      <protection locked="0"/>
    </xf>
    <xf numFmtId="0" fontId="7" fillId="2" borderId="1" xfId="0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165" fontId="7" fillId="2" borderId="1" xfId="0" applyNumberFormat="1" applyFont="1" applyFill="1" applyBorder="1" applyAlignment="1">
      <alignment horizontal="center" vertical="center" wrapText="1"/>
    </xf>
    <xf numFmtId="165" fontId="8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49" fontId="6" fillId="2" borderId="1" xfId="0" applyNumberFormat="1" applyFont="1" applyFill="1" applyBorder="1" applyAlignment="1" applyProtection="1">
      <alignment horizontal="center" vertical="center" wrapText="1"/>
      <protection locked="0"/>
    </xf>
    <xf numFmtId="165" fontId="6" fillId="2" borderId="1" xfId="0" applyNumberFormat="1" applyFont="1" applyFill="1" applyBorder="1" applyAlignment="1" applyProtection="1">
      <alignment horizontal="center" vertical="center" wrapText="1"/>
      <protection locked="0"/>
    </xf>
    <xf numFmtId="165" fontId="7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4" borderId="1" xfId="0" applyFont="1" applyFill="1" applyBorder="1" applyAlignment="1" applyProtection="1">
      <alignment vertical="top" wrapText="1"/>
      <protection locked="0"/>
    </xf>
    <xf numFmtId="0" fontId="6" fillId="4" borderId="1" xfId="0" applyFont="1" applyFill="1" applyBorder="1" applyAlignment="1" applyProtection="1">
      <alignment vertical="top" wrapText="1"/>
      <protection locked="0"/>
    </xf>
    <xf numFmtId="165" fontId="7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14" fillId="4" borderId="1" xfId="0" applyFont="1" applyFill="1" applyBorder="1" applyAlignment="1" applyProtection="1">
      <alignment vertical="top" wrapText="1"/>
      <protection locked="0"/>
    </xf>
    <xf numFmtId="165" fontId="7" fillId="4" borderId="1" xfId="0" applyNumberFormat="1" applyFont="1" applyFill="1" applyBorder="1" applyAlignment="1" applyProtection="1">
      <alignment horizontal="center" vertical="top" wrapText="1"/>
      <protection locked="0"/>
    </xf>
    <xf numFmtId="166" fontId="10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0" fillId="2" borderId="0" xfId="0" applyFill="1"/>
    <xf numFmtId="166" fontId="6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>
      <alignment horizontal="left" vertical="center" wrapText="1"/>
    </xf>
    <xf numFmtId="165" fontId="2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17" fillId="2" borderId="1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 wrapText="1"/>
    </xf>
    <xf numFmtId="165" fontId="2" fillId="2" borderId="1" xfId="0" applyNumberFormat="1" applyFont="1" applyFill="1" applyBorder="1" applyAlignment="1">
      <alignment horizontal="center" vertical="center" wrapText="1" shrinkToFit="1"/>
    </xf>
    <xf numFmtId="49" fontId="10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left" vertical="center" wrapText="1"/>
      <protection locked="0"/>
    </xf>
    <xf numFmtId="0" fontId="6" fillId="2" borderId="1" xfId="0" applyFont="1" applyFill="1" applyBorder="1" applyAlignment="1" applyProtection="1">
      <alignment vertical="center" wrapText="1"/>
      <protection locked="0"/>
    </xf>
    <xf numFmtId="0" fontId="0" fillId="2" borderId="1" xfId="0" applyFill="1" applyBorder="1"/>
    <xf numFmtId="166" fontId="7" fillId="4" borderId="1" xfId="0" applyNumberFormat="1" applyFont="1" applyFill="1" applyBorder="1" applyAlignment="1" applyProtection="1">
      <alignment vertical="top" wrapText="1"/>
      <protection locked="0"/>
    </xf>
    <xf numFmtId="166" fontId="7" fillId="4" borderId="1" xfId="0" applyNumberFormat="1" applyFont="1" applyFill="1" applyBorder="1" applyAlignment="1" applyProtection="1">
      <alignment horizontal="center" vertical="top" wrapText="1"/>
      <protection locked="0"/>
    </xf>
    <xf numFmtId="166" fontId="6" fillId="2" borderId="1" xfId="0" applyNumberFormat="1" applyFont="1" applyFill="1" applyBorder="1" applyAlignment="1" applyProtection="1">
      <alignment horizontal="center" vertical="center" wrapText="1"/>
      <protection locked="0"/>
    </xf>
    <xf numFmtId="3" fontId="6" fillId="2" borderId="1" xfId="0" applyNumberFormat="1" applyFont="1" applyFill="1" applyBorder="1" applyAlignment="1" applyProtection="1">
      <alignment horizontal="center" vertical="center" wrapText="1"/>
      <protection locked="0"/>
    </xf>
    <xf numFmtId="167" fontId="6" fillId="2" borderId="1" xfId="1" applyNumberFormat="1" applyFont="1" applyFill="1" applyBorder="1" applyAlignment="1" applyProtection="1">
      <alignment horizontal="center" vertical="center" wrapText="1"/>
      <protection locked="0"/>
    </xf>
    <xf numFmtId="167" fontId="6" fillId="2" borderId="1" xfId="1" applyNumberFormat="1" applyFont="1" applyFill="1" applyBorder="1" applyAlignment="1" applyProtection="1">
      <alignment vertical="center" wrapText="1"/>
      <protection locked="0"/>
    </xf>
    <xf numFmtId="167" fontId="6" fillId="0" borderId="1" xfId="1" applyNumberFormat="1" applyFont="1" applyFill="1" applyBorder="1" applyAlignment="1" applyProtection="1">
      <alignment vertical="center" wrapText="1"/>
      <protection locked="0"/>
    </xf>
    <xf numFmtId="0" fontId="20" fillId="2" borderId="1" xfId="0" applyFont="1" applyFill="1" applyBorder="1" applyAlignment="1" applyProtection="1">
      <alignment horizontal="left" vertical="center" wrapText="1"/>
      <protection locked="0"/>
    </xf>
    <xf numFmtId="0" fontId="6" fillId="0" borderId="1" xfId="0" applyFont="1" applyBorder="1" applyAlignment="1" applyProtection="1">
      <alignment horizontal="left" vertical="center" wrapText="1"/>
      <protection locked="0"/>
    </xf>
    <xf numFmtId="166" fontId="6" fillId="0" borderId="1" xfId="0" applyNumberFormat="1" applyFont="1" applyBorder="1" applyAlignment="1" applyProtection="1">
      <alignment horizontal="center" vertical="center" wrapText="1"/>
      <protection locked="0"/>
    </xf>
    <xf numFmtId="3" fontId="6" fillId="0" borderId="1" xfId="0" applyNumberFormat="1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165" fontId="6" fillId="0" borderId="1" xfId="0" applyNumberFormat="1" applyFont="1" applyBorder="1" applyAlignment="1" applyProtection="1">
      <alignment horizontal="center" vertical="center" wrapText="1"/>
      <protection locked="0"/>
    </xf>
    <xf numFmtId="167" fontId="6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7" fillId="4" borderId="1" xfId="0" applyFont="1" applyFill="1" applyBorder="1" applyAlignment="1" applyProtection="1">
      <alignment vertical="center" wrapText="1"/>
      <protection locked="0"/>
    </xf>
    <xf numFmtId="0" fontId="6" fillId="4" borderId="1" xfId="0" applyFont="1" applyFill="1" applyBorder="1" applyAlignment="1">
      <alignment vertical="center" wrapText="1"/>
    </xf>
    <xf numFmtId="0" fontId="6" fillId="2" borderId="1" xfId="5" applyFont="1" applyFill="1" applyBorder="1" applyAlignment="1">
      <alignment horizontal="center" vertical="center" wrapText="1"/>
    </xf>
    <xf numFmtId="165" fontId="7" fillId="2" borderId="1" xfId="3" applyNumberFormat="1" applyFont="1" applyFill="1" applyBorder="1" applyAlignment="1" applyProtection="1">
      <alignment horizontal="center" vertical="center" wrapText="1"/>
    </xf>
    <xf numFmtId="165" fontId="6" fillId="2" borderId="1" xfId="3" applyNumberFormat="1" applyFont="1" applyFill="1" applyBorder="1" applyAlignment="1" applyProtection="1">
      <alignment horizontal="center" vertical="center" wrapText="1"/>
    </xf>
    <xf numFmtId="0" fontId="7" fillId="2" borderId="1" xfId="5" applyFont="1" applyFill="1" applyBorder="1" applyAlignment="1">
      <alignment horizontal="center" vertical="center" wrapText="1"/>
    </xf>
    <xf numFmtId="0" fontId="5" fillId="2" borderId="1" xfId="0" applyFont="1" applyFill="1" applyBorder="1"/>
    <xf numFmtId="49" fontId="6" fillId="2" borderId="1" xfId="6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6" fillId="2" borderId="1" xfId="6" applyFont="1" applyFill="1" applyBorder="1" applyAlignment="1">
      <alignment horizontal="center" vertical="center" wrapText="1"/>
    </xf>
    <xf numFmtId="0" fontId="7" fillId="0" borderId="1" xfId="0" applyFont="1" applyBorder="1" applyAlignment="1" applyProtection="1">
      <alignment horizontal="center" vertical="center" wrapText="1"/>
      <protection locked="0"/>
    </xf>
    <xf numFmtId="165" fontId="7" fillId="0" borderId="1" xfId="0" applyNumberFormat="1" applyFont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>
      <alignment horizontal="center" vertical="center" wrapText="1"/>
    </xf>
    <xf numFmtId="165" fontId="17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2" fontId="6" fillId="0" borderId="1" xfId="0" applyNumberFormat="1" applyFont="1" applyBorder="1" applyAlignment="1" applyProtection="1">
      <alignment horizontal="center" vertical="center" wrapText="1"/>
      <protection locked="0"/>
    </xf>
    <xf numFmtId="0" fontId="16" fillId="2" borderId="1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/>
    </xf>
    <xf numFmtId="0" fontId="22" fillId="2" borderId="0" xfId="0" applyFont="1" applyFill="1"/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left"/>
    </xf>
    <xf numFmtId="0" fontId="23" fillId="2" borderId="0" xfId="0" applyFont="1" applyFill="1"/>
    <xf numFmtId="0" fontId="2" fillId="2" borderId="2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top"/>
    </xf>
    <xf numFmtId="0" fontId="5" fillId="2" borderId="5" xfId="0" applyFont="1" applyFill="1" applyBorder="1"/>
    <xf numFmtId="0" fontId="7" fillId="2" borderId="0" xfId="0" applyFont="1" applyFill="1" applyAlignment="1" applyProtection="1">
      <alignment vertical="top" wrapText="1"/>
      <protection locked="0"/>
    </xf>
    <xf numFmtId="0" fontId="4" fillId="2" borderId="3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0" fillId="2" borderId="1" xfId="0" applyFill="1" applyBorder="1" applyAlignment="1">
      <alignment horizontal="center"/>
    </xf>
    <xf numFmtId="0" fontId="22" fillId="2" borderId="1" xfId="0" applyFont="1" applyFill="1" applyBorder="1"/>
    <xf numFmtId="2" fontId="7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4" borderId="1" xfId="0" applyFont="1" applyFill="1" applyBorder="1" applyAlignment="1" applyProtection="1">
      <alignment horizontal="left" vertical="top" wrapText="1"/>
      <protection locked="0"/>
    </xf>
    <xf numFmtId="0" fontId="7" fillId="4" borderId="1" xfId="5" applyFont="1" applyFill="1" applyBorder="1" applyAlignment="1">
      <alignment horizontal="center" vertical="center" wrapText="1"/>
    </xf>
    <xf numFmtId="165" fontId="7" fillId="4" borderId="1" xfId="3" applyNumberFormat="1" applyFont="1" applyFill="1" applyBorder="1" applyAlignment="1" applyProtection="1">
      <alignment horizontal="center" vertical="center" wrapText="1"/>
    </xf>
    <xf numFmtId="0" fontId="24" fillId="4" borderId="1" xfId="0" applyFont="1" applyFill="1" applyBorder="1" applyAlignment="1">
      <alignment horizontal="left" vertical="top" wrapText="1"/>
    </xf>
    <xf numFmtId="165" fontId="7" fillId="2" borderId="1" xfId="6" applyNumberFormat="1" applyFont="1" applyFill="1" applyBorder="1" applyAlignment="1" applyProtection="1">
      <alignment horizontal="center" vertical="center" wrapText="1"/>
      <protection locked="0"/>
    </xf>
    <xf numFmtId="165" fontId="6" fillId="2" borderId="1" xfId="6" applyNumberFormat="1" applyFont="1" applyFill="1" applyBorder="1" applyAlignment="1" applyProtection="1">
      <alignment horizontal="center" vertical="center" wrapText="1"/>
      <protection locked="0"/>
    </xf>
    <xf numFmtId="165" fontId="18" fillId="2" borderId="1" xfId="6" applyNumberFormat="1" applyFont="1" applyFill="1" applyBorder="1" applyAlignment="1" applyProtection="1">
      <alignment horizontal="center" vertical="center" wrapText="1"/>
      <protection locked="0"/>
    </xf>
    <xf numFmtId="0" fontId="7" fillId="4" borderId="1" xfId="0" applyFont="1" applyFill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>
      <alignment horizontal="center" vertical="center"/>
    </xf>
    <xf numFmtId="0" fontId="4" fillId="2" borderId="6" xfId="0" applyFont="1" applyFill="1" applyBorder="1" applyAlignment="1">
      <alignment vertical="center" wrapText="1"/>
    </xf>
    <xf numFmtId="0" fontId="4" fillId="2" borderId="7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18" fillId="4" borderId="1" xfId="0" applyFont="1" applyFill="1" applyBorder="1" applyAlignment="1" applyProtection="1">
      <alignment vertical="top" wrapText="1"/>
      <protection locked="0"/>
    </xf>
    <xf numFmtId="49" fontId="4" fillId="2" borderId="1" xfId="0" applyNumberFormat="1" applyFont="1" applyFill="1" applyBorder="1" applyAlignment="1">
      <alignment horizontal="center" vertical="center"/>
    </xf>
    <xf numFmtId="4" fontId="14" fillId="2" borderId="1" xfId="5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/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1" xfId="5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2" fontId="6" fillId="2" borderId="1" xfId="0" applyNumberFormat="1" applyFont="1" applyFill="1" applyBorder="1" applyAlignment="1" applyProtection="1">
      <alignment horizontal="center" vertical="center" wrapText="1"/>
      <protection locked="0"/>
    </xf>
    <xf numFmtId="166" fontId="6" fillId="2" borderId="1" xfId="0" applyNumberFormat="1" applyFont="1" applyFill="1" applyBorder="1" applyAlignment="1" applyProtection="1">
      <alignment horizontal="center" vertical="center" wrapText="1"/>
      <protection locked="0"/>
    </xf>
    <xf numFmtId="166" fontId="7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65" fontId="2" fillId="0" borderId="1" xfId="0" applyNumberFormat="1" applyFont="1" applyFill="1" applyBorder="1" applyAlignment="1">
      <alignment horizontal="center" vertical="center" wrapText="1"/>
    </xf>
    <xf numFmtId="165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166" fontId="6" fillId="0" borderId="1" xfId="0" applyNumberFormat="1" applyFont="1" applyFill="1" applyBorder="1" applyAlignment="1">
      <alignment horizontal="center" vertical="center" wrapText="1"/>
    </xf>
    <xf numFmtId="165" fontId="17" fillId="0" borderId="1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/>
    </xf>
    <xf numFmtId="4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0" xfId="0" applyFill="1"/>
    <xf numFmtId="166" fontId="6" fillId="2" borderId="1" xfId="0" applyNumberFormat="1" applyFont="1" applyFill="1" applyBorder="1" applyAlignment="1" applyProtection="1">
      <alignment horizontal="left" vertical="center" wrapText="1"/>
      <protection locked="0"/>
    </xf>
    <xf numFmtId="0" fontId="6" fillId="2" borderId="6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2" fontId="6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7" fillId="2" borderId="0" xfId="0" applyFont="1" applyFill="1"/>
    <xf numFmtId="0" fontId="5" fillId="2" borderId="1" xfId="0" applyFont="1" applyFill="1" applyBorder="1" applyAlignment="1">
      <alignment horizontal="center" vertical="center"/>
    </xf>
    <xf numFmtId="1" fontId="8" fillId="2" borderId="1" xfId="0" applyNumberFormat="1" applyFont="1" applyFill="1" applyBorder="1" applyAlignment="1">
      <alignment horizontal="center" vertical="center" wrapText="1"/>
    </xf>
    <xf numFmtId="1" fontId="10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4" fontId="16" fillId="2" borderId="1" xfId="5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7" fillId="4" borderId="1" xfId="0" applyFont="1" applyFill="1" applyBorder="1" applyAlignment="1" applyProtection="1">
      <alignment vertical="center" wrapText="1"/>
      <protection locked="0"/>
    </xf>
    <xf numFmtId="0" fontId="6" fillId="2" borderId="1" xfId="0" applyFont="1" applyFill="1" applyBorder="1" applyAlignment="1" applyProtection="1">
      <alignment horizontal="left" vertical="center" wrapText="1"/>
      <protection locked="0"/>
    </xf>
    <xf numFmtId="0" fontId="7" fillId="4" borderId="1" xfId="0" applyFont="1" applyFill="1" applyBorder="1" applyAlignment="1" applyProtection="1">
      <alignment horizontal="left" vertical="center" wrapText="1"/>
      <protection locked="0"/>
    </xf>
    <xf numFmtId="166" fontId="7" fillId="4" borderId="1" xfId="0" applyNumberFormat="1" applyFont="1" applyFill="1" applyBorder="1" applyAlignment="1" applyProtection="1">
      <alignment horizontal="left" vertical="center" wrapText="1"/>
      <protection locked="0"/>
    </xf>
    <xf numFmtId="0" fontId="0" fillId="0" borderId="1" xfId="0" applyFill="1" applyBorder="1"/>
    <xf numFmtId="0" fontId="2" fillId="0" borderId="2" xfId="0" applyFont="1" applyBorder="1" applyAlignment="1">
      <alignment horizontal="center" vertical="center"/>
    </xf>
    <xf numFmtId="0" fontId="6" fillId="2" borderId="1" xfId="0" applyFont="1" applyFill="1" applyBorder="1" applyAlignment="1" applyProtection="1">
      <alignment horizontal="left" vertical="center" wrapText="1"/>
      <protection locked="0"/>
    </xf>
    <xf numFmtId="0" fontId="7" fillId="4" borderId="1" xfId="0" applyFont="1" applyFill="1" applyBorder="1" applyAlignment="1" applyProtection="1">
      <alignment horizontal="left" vertical="center" wrapText="1"/>
      <protection locked="0"/>
    </xf>
    <xf numFmtId="0" fontId="6" fillId="2" borderId="8" xfId="0" applyFont="1" applyFill="1" applyBorder="1" applyAlignment="1" applyProtection="1">
      <alignment horizontal="left" vertical="center" wrapText="1"/>
      <protection locked="0"/>
    </xf>
    <xf numFmtId="166" fontId="7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>
      <alignment horizontal="left" vertical="center" wrapText="1"/>
    </xf>
    <xf numFmtId="165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7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2" fontId="6" fillId="2" borderId="1" xfId="0" applyNumberFormat="1" applyFont="1" applyFill="1" applyBorder="1" applyAlignment="1">
      <alignment horizontal="center" vertical="center" wrapText="1"/>
    </xf>
    <xf numFmtId="165" fontId="6" fillId="2" borderId="1" xfId="0" applyNumberFormat="1" applyFont="1" applyFill="1" applyBorder="1" applyAlignment="1">
      <alignment horizontal="center" vertical="center" wrapText="1"/>
    </xf>
    <xf numFmtId="165" fontId="7" fillId="2" borderId="1" xfId="4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7" fillId="4" borderId="1" xfId="0" applyFont="1" applyFill="1" applyBorder="1" applyAlignment="1" applyProtection="1">
      <alignment horizontal="center" vertical="center" wrapText="1"/>
      <protection locked="0"/>
    </xf>
    <xf numFmtId="166" fontId="8" fillId="2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6" fillId="2" borderId="1" xfId="0" applyFont="1" applyFill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0" fontId="6" fillId="2" borderId="1" xfId="0" applyFont="1" applyFill="1" applyBorder="1" applyAlignment="1" applyProtection="1">
      <alignment horizontal="left" vertical="top" wrapText="1"/>
      <protection locked="0"/>
    </xf>
    <xf numFmtId="0" fontId="18" fillId="2" borderId="1" xfId="0" applyFont="1" applyFill="1" applyBorder="1" applyAlignment="1">
      <alignment horizontal="center" vertical="center"/>
    </xf>
    <xf numFmtId="165" fontId="26" fillId="2" borderId="1" xfId="0" applyNumberFormat="1" applyFont="1" applyFill="1" applyBorder="1" applyAlignment="1">
      <alignment horizontal="center" vertical="center" wrapText="1"/>
    </xf>
    <xf numFmtId="165" fontId="17" fillId="2" borderId="1" xfId="0" applyNumberFormat="1" applyFont="1" applyFill="1" applyBorder="1" applyAlignment="1">
      <alignment horizontal="center" vertical="center" wrapText="1" shrinkToFit="1"/>
    </xf>
    <xf numFmtId="0" fontId="6" fillId="2" borderId="1" xfId="0" applyFont="1" applyFill="1" applyBorder="1" applyAlignment="1">
      <alignment horizontal="center" vertical="center"/>
    </xf>
    <xf numFmtId="166" fontId="6" fillId="2" borderId="1" xfId="0" applyNumberFormat="1" applyFont="1" applyFill="1" applyBorder="1" applyAlignment="1">
      <alignment horizontal="center" vertical="center"/>
    </xf>
    <xf numFmtId="0" fontId="29" fillId="2" borderId="0" xfId="0" applyFont="1" applyFill="1"/>
    <xf numFmtId="166" fontId="7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7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left" vertical="center" wrapText="1"/>
    </xf>
    <xf numFmtId="165" fontId="8" fillId="2" borderId="1" xfId="3" applyNumberFormat="1" applyFont="1" applyFill="1" applyBorder="1" applyAlignment="1" applyProtection="1">
      <alignment horizontal="center" vertical="center" wrapText="1"/>
      <protection locked="0"/>
    </xf>
    <xf numFmtId="165" fontId="10" fillId="2" borderId="1" xfId="3" applyNumberFormat="1" applyFont="1" applyFill="1" applyBorder="1" applyAlignment="1" applyProtection="1">
      <alignment horizontal="center" vertical="center" wrapText="1"/>
      <protection locked="0"/>
    </xf>
    <xf numFmtId="2" fontId="6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0" fontId="10" fillId="2" borderId="1" xfId="0" applyFont="1" applyFill="1" applyBorder="1" applyAlignment="1" applyProtection="1">
      <alignment horizontal="center" vertical="center" wrapText="1"/>
      <protection locked="0"/>
    </xf>
    <xf numFmtId="165" fontId="26" fillId="4" borderId="1" xfId="0" applyNumberFormat="1" applyFont="1" applyFill="1" applyBorder="1" applyAlignment="1" applyProtection="1">
      <alignment horizontal="center" vertical="top" wrapText="1"/>
      <protection locked="0"/>
    </xf>
    <xf numFmtId="44" fontId="6" fillId="2" borderId="1" xfId="2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5" applyFont="1" applyFill="1" applyBorder="1" applyAlignment="1">
      <alignment horizontal="center" vertical="center" wrapText="1"/>
    </xf>
    <xf numFmtId="165" fontId="17" fillId="2" borderId="1" xfId="3" applyNumberFormat="1" applyFont="1" applyFill="1" applyBorder="1" applyAlignment="1" applyProtection="1">
      <alignment horizontal="center" vertical="center" wrapText="1"/>
    </xf>
    <xf numFmtId="165" fontId="2" fillId="2" borderId="1" xfId="3" applyNumberFormat="1" applyFont="1" applyFill="1" applyBorder="1" applyAlignment="1" applyProtection="1">
      <alignment horizontal="center" vertical="center" wrapText="1"/>
    </xf>
    <xf numFmtId="166" fontId="2" fillId="2" borderId="1" xfId="0" applyNumberFormat="1" applyFont="1" applyFill="1" applyBorder="1" applyAlignment="1" applyProtection="1">
      <alignment horizontal="left" vertical="top" wrapText="1"/>
      <protection locked="0"/>
    </xf>
    <xf numFmtId="166" fontId="28" fillId="2" borderId="1" xfId="0" applyNumberFormat="1" applyFont="1" applyFill="1" applyBorder="1" applyAlignment="1" applyProtection="1">
      <alignment horizontal="left" vertical="top" wrapText="1"/>
      <protection locked="0"/>
    </xf>
    <xf numFmtId="0" fontId="6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 applyProtection="1">
      <alignment horizontal="center" vertical="center" wrapText="1"/>
      <protection locked="0"/>
    </xf>
    <xf numFmtId="0" fontId="7" fillId="4" borderId="1" xfId="0" applyFont="1" applyFill="1" applyBorder="1" applyAlignment="1" applyProtection="1">
      <alignment horizontal="left" vertical="center" wrapText="1"/>
      <protection locked="0"/>
    </xf>
    <xf numFmtId="166" fontId="8" fillId="2" borderId="0" xfId="0" applyNumberFormat="1" applyFont="1" applyFill="1" applyBorder="1" applyAlignment="1">
      <alignment horizontal="center" vertical="center" wrapText="1"/>
    </xf>
    <xf numFmtId="166" fontId="14" fillId="4" borderId="10" xfId="0" applyNumberFormat="1" applyFont="1" applyFill="1" applyBorder="1" applyAlignment="1" applyProtection="1">
      <alignment vertical="top" wrapText="1"/>
      <protection locked="0"/>
    </xf>
    <xf numFmtId="166" fontId="17" fillId="2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 applyProtection="1">
      <alignment horizontal="center" vertical="center" wrapText="1"/>
      <protection locked="0"/>
    </xf>
    <xf numFmtId="0" fontId="6" fillId="2" borderId="6" xfId="0" applyFont="1" applyFill="1" applyBorder="1" applyAlignment="1" applyProtection="1">
      <alignment horizontal="center" vertical="center" wrapText="1"/>
      <protection locked="0"/>
    </xf>
    <xf numFmtId="166" fontId="6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left" vertical="center" wrapText="1"/>
      <protection locked="0"/>
    </xf>
    <xf numFmtId="0" fontId="6" fillId="2" borderId="1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7" fillId="4" borderId="1" xfId="0" applyFont="1" applyFill="1" applyBorder="1" applyAlignment="1" applyProtection="1">
      <alignment horizontal="center" vertical="center" wrapText="1"/>
      <protection locked="0"/>
    </xf>
    <xf numFmtId="165" fontId="8" fillId="4" borderId="1" xfId="3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165" fontId="10" fillId="0" borderId="1" xfId="3" applyNumberFormat="1" applyFont="1" applyFill="1" applyBorder="1" applyAlignment="1" applyProtection="1">
      <alignment horizontal="center" vertical="center" wrapText="1"/>
      <protection locked="0"/>
    </xf>
    <xf numFmtId="165" fontId="2" fillId="0" borderId="1" xfId="0" applyNumberFormat="1" applyFont="1" applyFill="1" applyBorder="1" applyAlignment="1">
      <alignment horizontal="center" vertical="center" wrapText="1" shrinkToFit="1"/>
    </xf>
    <xf numFmtId="165" fontId="8" fillId="0" borderId="1" xfId="3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>
      <alignment horizontal="left" vertical="top" wrapText="1"/>
    </xf>
    <xf numFmtId="0" fontId="0" fillId="0" borderId="1" xfId="0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166" fontId="2" fillId="2" borderId="1" xfId="0" applyNumberFormat="1" applyFont="1" applyFill="1" applyBorder="1" applyAlignment="1" applyProtection="1">
      <alignment horizontal="left" vertical="center" wrapText="1"/>
      <protection locked="0"/>
    </xf>
    <xf numFmtId="0" fontId="6" fillId="0" borderId="1" xfId="0" applyFont="1" applyBorder="1" applyAlignment="1">
      <alignment horizontal="left" vertical="center" wrapText="1"/>
    </xf>
    <xf numFmtId="0" fontId="6" fillId="2" borderId="1" xfId="0" applyFont="1" applyFill="1" applyBorder="1" applyAlignment="1" applyProtection="1">
      <alignment horizontal="left" vertical="center" wrapText="1"/>
      <protection locked="0"/>
    </xf>
    <xf numFmtId="0" fontId="6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6" xfId="0" applyFont="1" applyFill="1" applyBorder="1" applyAlignment="1" applyProtection="1">
      <alignment horizontal="left" vertical="center" wrapText="1"/>
      <protection locked="0"/>
    </xf>
    <xf numFmtId="0" fontId="6" fillId="2" borderId="2" xfId="0" applyFont="1" applyFill="1" applyBorder="1" applyAlignment="1" applyProtection="1">
      <alignment horizontal="left" vertical="center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166" fontId="6" fillId="2" borderId="1" xfId="0" applyNumberFormat="1" applyFont="1" applyFill="1" applyBorder="1" applyAlignment="1" applyProtection="1">
      <alignment horizontal="center" vertical="center" wrapText="1"/>
      <protection locked="0"/>
    </xf>
    <xf numFmtId="166" fontId="7" fillId="2" borderId="1" xfId="0" applyNumberFormat="1" applyFont="1" applyFill="1" applyBorder="1" applyAlignment="1" applyProtection="1">
      <alignment horizontal="center" vertical="center" wrapText="1"/>
      <protection locked="0"/>
    </xf>
    <xf numFmtId="166" fontId="2" fillId="2" borderId="1" xfId="0" applyNumberFormat="1" applyFont="1" applyFill="1" applyBorder="1" applyAlignment="1">
      <alignment horizontal="center" vertical="center" wrapText="1"/>
    </xf>
    <xf numFmtId="166" fontId="17" fillId="2" borderId="1" xfId="0" applyNumberFormat="1" applyFont="1" applyFill="1" applyBorder="1" applyAlignment="1">
      <alignment horizontal="center" vertical="center" wrapText="1"/>
    </xf>
    <xf numFmtId="166" fontId="10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4" borderId="1" xfId="0" applyFont="1" applyFill="1" applyBorder="1" applyAlignment="1" applyProtection="1">
      <alignment horizontal="left" vertical="center" wrapText="1"/>
      <protection locked="0"/>
    </xf>
    <xf numFmtId="0" fontId="7" fillId="4" borderId="1" xfId="0" applyFont="1" applyFill="1" applyBorder="1" applyAlignment="1" applyProtection="1">
      <alignment horizontal="center" vertical="center" wrapText="1"/>
      <protection locked="0"/>
    </xf>
    <xf numFmtId="165" fontId="7" fillId="4" borderId="6" xfId="0" applyNumberFormat="1" applyFont="1" applyFill="1" applyBorder="1" applyAlignment="1" applyProtection="1">
      <alignment horizontal="center" vertical="top" wrapText="1"/>
      <protection locked="0"/>
    </xf>
    <xf numFmtId="0" fontId="6" fillId="0" borderId="1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6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18" fillId="2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 applyProtection="1">
      <alignment horizontal="left" vertical="center" wrapText="1"/>
      <protection locked="0"/>
    </xf>
    <xf numFmtId="165" fontId="17" fillId="4" borderId="1" xfId="0" applyNumberFormat="1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 applyProtection="1">
      <alignment horizontal="left" vertical="center" wrapText="1"/>
      <protection locked="0"/>
    </xf>
    <xf numFmtId="0" fontId="10" fillId="2" borderId="1" xfId="0" applyFont="1" applyFill="1" applyBorder="1" applyAlignment="1" applyProtection="1">
      <alignment horizontal="center" vertical="center" wrapText="1"/>
      <protection locked="0"/>
    </xf>
    <xf numFmtId="0" fontId="30" fillId="2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 applyProtection="1">
      <alignment vertical="center" wrapText="1"/>
      <protection locked="0"/>
    </xf>
    <xf numFmtId="49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165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1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10" fillId="5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 applyProtection="1">
      <alignment vertical="top" wrapText="1"/>
      <protection locked="0"/>
    </xf>
    <xf numFmtId="165" fontId="7" fillId="5" borderId="1" xfId="0" applyNumberFormat="1" applyFont="1" applyFill="1" applyBorder="1" applyAlignment="1" applyProtection="1">
      <alignment horizontal="center" vertical="center" wrapText="1"/>
      <protection locked="0"/>
    </xf>
    <xf numFmtId="165" fontId="7" fillId="5" borderId="1" xfId="0" applyNumberFormat="1" applyFont="1" applyFill="1" applyBorder="1" applyAlignment="1" applyProtection="1">
      <alignment horizontal="center" vertical="top" wrapText="1"/>
      <protection locked="0"/>
    </xf>
    <xf numFmtId="0" fontId="10" fillId="5" borderId="2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 applyProtection="1">
      <alignment horizontal="center" vertical="center" wrapText="1"/>
      <protection locked="0"/>
    </xf>
    <xf numFmtId="0" fontId="7" fillId="5" borderId="1" xfId="0" applyFont="1" applyFill="1" applyBorder="1" applyAlignment="1" applyProtection="1">
      <alignment horizontal="center" vertical="top" wrapText="1"/>
      <protection locked="0"/>
    </xf>
    <xf numFmtId="0" fontId="10" fillId="5" borderId="2" xfId="0" applyFont="1" applyFill="1" applyBorder="1" applyAlignment="1">
      <alignment vertical="center" wrapText="1"/>
    </xf>
    <xf numFmtId="166" fontId="7" fillId="5" borderId="1" xfId="0" applyNumberFormat="1" applyFont="1" applyFill="1" applyBorder="1" applyAlignment="1" applyProtection="1">
      <alignment horizontal="center" vertical="top" wrapText="1"/>
      <protection locked="0"/>
    </xf>
    <xf numFmtId="0" fontId="7" fillId="6" borderId="1" xfId="0" applyFont="1" applyFill="1" applyBorder="1" applyAlignment="1" applyProtection="1">
      <alignment horizontal="center" vertical="center" wrapText="1"/>
      <protection locked="0"/>
    </xf>
    <xf numFmtId="166" fontId="7" fillId="6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6" borderId="1" xfId="0" applyFont="1" applyFill="1" applyBorder="1" applyAlignment="1" applyProtection="1">
      <alignment horizontal="center" vertical="top" wrapText="1"/>
      <protection locked="0"/>
    </xf>
    <xf numFmtId="165" fontId="6" fillId="2" borderId="1" xfId="3" applyNumberFormat="1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2" fontId="6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left" vertical="center" wrapText="1"/>
      <protection locked="0"/>
    </xf>
    <xf numFmtId="0" fontId="7" fillId="4" borderId="1" xfId="0" applyFont="1" applyFill="1" applyBorder="1" applyAlignment="1" applyProtection="1">
      <alignment horizontal="left" vertical="center" wrapText="1"/>
      <protection locked="0"/>
    </xf>
    <xf numFmtId="0" fontId="7" fillId="2" borderId="1" xfId="0" applyFont="1" applyFill="1" applyBorder="1" applyAlignment="1" applyProtection="1">
      <alignment vertical="top" wrapText="1"/>
      <protection locked="0"/>
    </xf>
    <xf numFmtId="165" fontId="7" fillId="2" borderId="1" xfId="0" applyNumberFormat="1" applyFont="1" applyFill="1" applyBorder="1" applyAlignment="1" applyProtection="1">
      <alignment horizontal="center" vertical="top" wrapText="1"/>
      <protection locked="0"/>
    </xf>
    <xf numFmtId="0" fontId="7" fillId="0" borderId="6" xfId="0" applyFont="1" applyFill="1" applyBorder="1" applyAlignment="1" applyProtection="1">
      <alignment horizontal="center" vertical="center" wrapText="1"/>
      <protection locked="0"/>
    </xf>
    <xf numFmtId="0" fontId="7" fillId="0" borderId="7" xfId="0" applyFont="1" applyFill="1" applyBorder="1" applyAlignment="1" applyProtection="1">
      <alignment horizontal="center" vertical="center" wrapText="1"/>
      <protection locked="0"/>
    </xf>
    <xf numFmtId="0" fontId="7" fillId="0" borderId="2" xfId="0" applyFont="1" applyFill="1" applyBorder="1" applyAlignment="1" applyProtection="1">
      <alignment horizontal="center" vertical="center" wrapText="1"/>
      <protection locked="0"/>
    </xf>
    <xf numFmtId="2" fontId="6" fillId="0" borderId="6" xfId="0" applyNumberFormat="1" applyFont="1" applyFill="1" applyBorder="1" applyAlignment="1" applyProtection="1">
      <alignment horizontal="center" vertical="center" wrapText="1"/>
      <protection locked="0"/>
    </xf>
    <xf numFmtId="2" fontId="6" fillId="0" borderId="7" xfId="0" applyNumberFormat="1" applyFont="1" applyFill="1" applyBorder="1" applyAlignment="1" applyProtection="1">
      <alignment horizontal="center" vertical="center" wrapText="1"/>
      <protection locked="0"/>
    </xf>
    <xf numFmtId="2" fontId="6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6" xfId="0" applyFont="1" applyFill="1" applyBorder="1" applyAlignment="1" applyProtection="1">
      <alignment horizontal="center" vertical="center" wrapText="1"/>
      <protection locked="0"/>
    </xf>
    <xf numFmtId="0" fontId="6" fillId="2" borderId="7" xfId="0" applyFont="1" applyFill="1" applyBorder="1" applyAlignment="1" applyProtection="1">
      <alignment horizontal="center" vertical="center" wrapText="1"/>
      <protection locked="0"/>
    </xf>
    <xf numFmtId="0" fontId="6" fillId="2" borderId="2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 applyProtection="1">
      <alignment horizontal="left" vertical="center" wrapText="1"/>
      <protection locked="0"/>
    </xf>
    <xf numFmtId="0" fontId="6" fillId="2" borderId="6" xfId="0" applyFont="1" applyFill="1" applyBorder="1" applyAlignment="1" applyProtection="1">
      <alignment horizontal="left" vertical="center" wrapText="1"/>
      <protection locked="0"/>
    </xf>
    <xf numFmtId="0" fontId="6" fillId="2" borderId="7" xfId="0" applyFont="1" applyFill="1" applyBorder="1" applyAlignment="1" applyProtection="1">
      <alignment horizontal="left" vertical="center" wrapText="1"/>
      <protection locked="0"/>
    </xf>
    <xf numFmtId="0" fontId="6" fillId="2" borderId="2" xfId="0" applyFont="1" applyFill="1" applyBorder="1" applyAlignment="1" applyProtection="1">
      <alignment horizontal="left" vertical="center" wrapText="1"/>
      <protection locked="0"/>
    </xf>
    <xf numFmtId="0" fontId="7" fillId="4" borderId="1" xfId="0" applyFont="1" applyFill="1" applyBorder="1" applyAlignment="1" applyProtection="1">
      <alignment horizontal="left" vertical="center" wrapText="1"/>
      <protection locked="0"/>
    </xf>
    <xf numFmtId="2" fontId="6" fillId="2" borderId="6" xfId="0" applyNumberFormat="1" applyFont="1" applyFill="1" applyBorder="1" applyAlignment="1" applyProtection="1">
      <alignment horizontal="center" vertical="center" wrapText="1"/>
      <protection locked="0"/>
    </xf>
    <xf numFmtId="2" fontId="6" fillId="2" borderId="7" xfId="0" applyNumberFormat="1" applyFont="1" applyFill="1" applyBorder="1" applyAlignment="1" applyProtection="1">
      <alignment horizontal="center" vertical="center" wrapText="1"/>
      <protection locked="0"/>
    </xf>
    <xf numFmtId="2" fontId="6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66" fontId="2" fillId="2" borderId="6" xfId="0" applyNumberFormat="1" applyFont="1" applyFill="1" applyBorder="1" applyAlignment="1" applyProtection="1">
      <alignment horizontal="left" vertical="center" wrapText="1"/>
      <protection locked="0"/>
    </xf>
    <xf numFmtId="166" fontId="2" fillId="2" borderId="7" xfId="0" applyNumberFormat="1" applyFont="1" applyFill="1" applyBorder="1" applyAlignment="1" applyProtection="1">
      <alignment horizontal="left" vertical="center" wrapText="1"/>
      <protection locked="0"/>
    </xf>
    <xf numFmtId="166" fontId="2" fillId="2" borderId="2" xfId="0" applyNumberFormat="1" applyFont="1" applyFill="1" applyBorder="1" applyAlignment="1" applyProtection="1">
      <alignment horizontal="left" vertical="center" wrapText="1"/>
      <protection locked="0"/>
    </xf>
    <xf numFmtId="0" fontId="6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 applyProtection="1">
      <alignment horizontal="center" vertical="center" wrapText="1"/>
      <protection locked="0"/>
    </xf>
    <xf numFmtId="0" fontId="7" fillId="2" borderId="7" xfId="0" applyFont="1" applyFill="1" applyBorder="1" applyAlignment="1" applyProtection="1">
      <alignment horizontal="center" vertical="center" wrapText="1"/>
      <protection locked="0"/>
    </xf>
    <xf numFmtId="0" fontId="7" fillId="2" borderId="2" xfId="0" applyFont="1" applyFill="1" applyBorder="1" applyAlignment="1" applyProtection="1">
      <alignment horizontal="center" vertical="center" wrapText="1"/>
      <protection locked="0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49" fontId="10" fillId="2" borderId="6" xfId="0" applyNumberFormat="1" applyFont="1" applyFill="1" applyBorder="1" applyAlignment="1" applyProtection="1">
      <alignment horizontal="center" vertical="center" wrapText="1"/>
      <protection locked="0"/>
    </xf>
    <xf numFmtId="49" fontId="10" fillId="2" borderId="7" xfId="0" applyNumberFormat="1" applyFont="1" applyFill="1" applyBorder="1" applyAlignment="1" applyProtection="1">
      <alignment horizontal="center" vertical="center" wrapText="1"/>
      <protection locked="0"/>
    </xf>
    <xf numFmtId="49" fontId="10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10" fillId="2" borderId="6" xfId="0" applyFont="1" applyFill="1" applyBorder="1" applyAlignment="1" applyProtection="1">
      <alignment horizontal="center" vertical="center" wrapText="1"/>
      <protection locked="0"/>
    </xf>
    <xf numFmtId="0" fontId="10" fillId="2" borderId="2" xfId="0" applyFont="1" applyFill="1" applyBorder="1" applyAlignment="1" applyProtection="1">
      <alignment horizontal="center" vertical="center" wrapText="1"/>
      <protection locked="0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165" fontId="10" fillId="2" borderId="6" xfId="3" applyNumberFormat="1" applyFont="1" applyFill="1" applyBorder="1" applyAlignment="1" applyProtection="1">
      <alignment horizontal="center" vertical="center" wrapText="1"/>
      <protection locked="0"/>
    </xf>
    <xf numFmtId="165" fontId="10" fillId="2" borderId="2" xfId="3" applyNumberFormat="1" applyFont="1" applyFill="1" applyBorder="1" applyAlignment="1" applyProtection="1">
      <alignment horizontal="center" vertical="center" wrapText="1"/>
      <protection locked="0"/>
    </xf>
    <xf numFmtId="0" fontId="10" fillId="2" borderId="7" xfId="0" applyFont="1" applyFill="1" applyBorder="1" applyAlignment="1" applyProtection="1">
      <alignment horizontal="center" vertical="center" wrapText="1"/>
      <protection locked="0"/>
    </xf>
    <xf numFmtId="0" fontId="7" fillId="5" borderId="1" xfId="0" applyFont="1" applyFill="1" applyBorder="1" applyAlignment="1" applyProtection="1">
      <alignment horizontal="center" vertical="center" wrapText="1"/>
      <protection locked="0"/>
    </xf>
    <xf numFmtId="1" fontId="8" fillId="2" borderId="6" xfId="0" applyNumberFormat="1" applyFont="1" applyFill="1" applyBorder="1" applyAlignment="1">
      <alignment horizontal="center" vertical="center" wrapText="1"/>
    </xf>
    <xf numFmtId="1" fontId="8" fillId="2" borderId="7" xfId="0" applyNumberFormat="1" applyFont="1" applyFill="1" applyBorder="1" applyAlignment="1">
      <alignment horizontal="center" vertical="center" wrapText="1"/>
    </xf>
    <xf numFmtId="1" fontId="8" fillId="2" borderId="2" xfId="0" applyNumberFormat="1" applyFont="1" applyFill="1" applyBorder="1" applyAlignment="1">
      <alignment horizontal="center" vertical="center" wrapText="1"/>
    </xf>
    <xf numFmtId="0" fontId="21" fillId="3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5" fillId="3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0" fontId="16" fillId="2" borderId="6" xfId="0" applyFont="1" applyFill="1" applyBorder="1" applyAlignment="1">
      <alignment horizontal="center" vertical="center" wrapText="1"/>
    </xf>
    <xf numFmtId="0" fontId="16" fillId="2" borderId="7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 applyProtection="1">
      <alignment horizontal="center" vertical="center" wrapText="1"/>
      <protection locked="0"/>
    </xf>
    <xf numFmtId="0" fontId="10" fillId="0" borderId="7" xfId="0" applyFont="1" applyFill="1" applyBorder="1" applyAlignment="1" applyProtection="1">
      <alignment horizontal="center" vertical="center" wrapText="1"/>
      <protection locked="0"/>
    </xf>
    <xf numFmtId="0" fontId="10" fillId="0" borderId="2" xfId="0" applyFont="1" applyFill="1" applyBorder="1" applyAlignment="1" applyProtection="1">
      <alignment horizontal="center" vertical="center" wrapText="1"/>
      <protection locked="0"/>
    </xf>
    <xf numFmtId="49" fontId="10" fillId="2" borderId="6" xfId="3" applyNumberFormat="1" applyFont="1" applyFill="1" applyBorder="1" applyAlignment="1" applyProtection="1">
      <alignment horizontal="center" vertical="center" wrapText="1"/>
      <protection locked="0"/>
    </xf>
    <xf numFmtId="49" fontId="10" fillId="2" borderId="2" xfId="3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>
      <alignment horizontal="center" vertical="center"/>
    </xf>
    <xf numFmtId="166" fontId="4" fillId="2" borderId="6" xfId="0" applyNumberFormat="1" applyFont="1" applyFill="1" applyBorder="1" applyAlignment="1">
      <alignment horizontal="center" vertical="center" wrapText="1"/>
    </xf>
    <xf numFmtId="166" fontId="4" fillId="2" borderId="7" xfId="0" applyNumberFormat="1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2" borderId="6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left" vertical="center"/>
    </xf>
    <xf numFmtId="0" fontId="0" fillId="0" borderId="13" xfId="0" applyBorder="1" applyAlignment="1">
      <alignment horizontal="left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 applyProtection="1">
      <alignment horizontal="center" vertical="center" wrapText="1"/>
      <protection locked="0"/>
    </xf>
    <xf numFmtId="0" fontId="8" fillId="2" borderId="1" xfId="0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center" wrapText="1"/>
    </xf>
    <xf numFmtId="0" fontId="6" fillId="0" borderId="6" xfId="0" applyFont="1" applyFill="1" applyBorder="1" applyAlignment="1" applyProtection="1">
      <alignment horizontal="center" vertical="center" wrapText="1"/>
      <protection locked="0"/>
    </xf>
    <xf numFmtId="0" fontId="6" fillId="0" borderId="7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Fill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66" fontId="6" fillId="2" borderId="6" xfId="0" applyNumberFormat="1" applyFont="1" applyFill="1" applyBorder="1" applyAlignment="1" applyProtection="1">
      <alignment horizontal="center" vertical="center" wrapText="1"/>
      <protection locked="0"/>
    </xf>
    <xf numFmtId="166" fontId="6" fillId="2" borderId="7" xfId="0" applyNumberFormat="1" applyFont="1" applyFill="1" applyBorder="1" applyAlignment="1" applyProtection="1">
      <alignment horizontal="center" vertical="center" wrapText="1"/>
      <protection locked="0"/>
    </xf>
    <xf numFmtId="166" fontId="6" fillId="2" borderId="2" xfId="0" applyNumberFormat="1" applyFont="1" applyFill="1" applyBorder="1" applyAlignment="1" applyProtection="1">
      <alignment horizontal="center" vertical="center" wrapText="1"/>
      <protection locked="0"/>
    </xf>
    <xf numFmtId="166" fontId="7" fillId="2" borderId="6" xfId="0" applyNumberFormat="1" applyFont="1" applyFill="1" applyBorder="1" applyAlignment="1" applyProtection="1">
      <alignment horizontal="center" vertical="center" wrapText="1"/>
      <protection locked="0"/>
    </xf>
    <xf numFmtId="166" fontId="7" fillId="2" borderId="7" xfId="0" applyNumberFormat="1" applyFont="1" applyFill="1" applyBorder="1" applyAlignment="1" applyProtection="1">
      <alignment horizontal="center" vertical="center" wrapText="1"/>
      <protection locked="0"/>
    </xf>
    <xf numFmtId="166" fontId="7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7" xfId="0" applyFont="1" applyFill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vertical="center" wrapText="1"/>
    </xf>
    <xf numFmtId="0" fontId="7" fillId="2" borderId="7" xfId="0" applyFont="1" applyFill="1" applyBorder="1" applyAlignment="1">
      <alignment vertical="center" wrapText="1"/>
    </xf>
    <xf numFmtId="166" fontId="7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4" borderId="1" xfId="0" applyFont="1" applyFill="1" applyBorder="1" applyAlignment="1" applyProtection="1">
      <alignment horizontal="center" vertical="top" wrapText="1"/>
      <protection locked="0"/>
    </xf>
    <xf numFmtId="0" fontId="7" fillId="4" borderId="8" xfId="0" applyFont="1" applyFill="1" applyBorder="1" applyAlignment="1" applyProtection="1">
      <alignment horizontal="left" vertical="top" wrapText="1"/>
      <protection locked="0"/>
    </xf>
    <xf numFmtId="0" fontId="7" fillId="4" borderId="9" xfId="0" applyFont="1" applyFill="1" applyBorder="1" applyAlignment="1" applyProtection="1">
      <alignment horizontal="left" vertical="top" wrapText="1"/>
      <protection locked="0"/>
    </xf>
    <xf numFmtId="0" fontId="7" fillId="4" borderId="10" xfId="0" applyFont="1" applyFill="1" applyBorder="1" applyAlignment="1" applyProtection="1">
      <alignment horizontal="left" vertical="top" wrapText="1"/>
      <protection locked="0"/>
    </xf>
    <xf numFmtId="0" fontId="7" fillId="4" borderId="8" xfId="0" applyFont="1" applyFill="1" applyBorder="1" applyAlignment="1" applyProtection="1">
      <alignment horizontal="left" vertical="center" wrapText="1"/>
      <protection locked="0"/>
    </xf>
    <xf numFmtId="0" fontId="7" fillId="4" borderId="9" xfId="0" applyFont="1" applyFill="1" applyBorder="1" applyAlignment="1" applyProtection="1">
      <alignment horizontal="left" vertical="center" wrapText="1"/>
      <protection locked="0"/>
    </xf>
    <xf numFmtId="0" fontId="7" fillId="4" borderId="10" xfId="0" applyFont="1" applyFill="1" applyBorder="1" applyAlignment="1" applyProtection="1">
      <alignment horizontal="left" vertical="center" wrapText="1"/>
      <protection locked="0"/>
    </xf>
    <xf numFmtId="0" fontId="10" fillId="2" borderId="1" xfId="0" applyFont="1" applyFill="1" applyBorder="1" applyAlignment="1" applyProtection="1">
      <alignment horizontal="center" vertical="center" wrapText="1"/>
      <protection locked="0"/>
    </xf>
    <xf numFmtId="44" fontId="6" fillId="2" borderId="1" xfId="2" applyFont="1" applyFill="1" applyBorder="1" applyAlignment="1" applyProtection="1">
      <alignment horizontal="center" vertical="center" wrapText="1"/>
      <protection locked="0"/>
    </xf>
    <xf numFmtId="44" fontId="6" fillId="2" borderId="6" xfId="2" applyFont="1" applyFill="1" applyBorder="1" applyAlignment="1" applyProtection="1">
      <alignment horizontal="center" vertical="center" wrapText="1"/>
      <protection locked="0"/>
    </xf>
    <xf numFmtId="44" fontId="6" fillId="2" borderId="7" xfId="2" applyFont="1" applyFill="1" applyBorder="1" applyAlignment="1" applyProtection="1">
      <alignment horizontal="center" vertical="center" wrapText="1"/>
      <protection locked="0"/>
    </xf>
    <xf numFmtId="44" fontId="6" fillId="2" borderId="2" xfId="2" applyFont="1" applyFill="1" applyBorder="1" applyAlignment="1" applyProtection="1">
      <alignment horizontal="center" vertical="center" wrapText="1"/>
      <protection locked="0"/>
    </xf>
    <xf numFmtId="0" fontId="4" fillId="2" borderId="2" xfId="0" applyFont="1" applyFill="1" applyBorder="1" applyAlignment="1">
      <alignment horizontal="center" vertical="center"/>
    </xf>
    <xf numFmtId="0" fontId="7" fillId="2" borderId="11" xfId="0" applyFont="1" applyFill="1" applyBorder="1" applyAlignment="1" applyProtection="1">
      <alignment horizontal="center" vertical="center" wrapText="1"/>
      <protection locked="0"/>
    </xf>
    <xf numFmtId="0" fontId="7" fillId="2" borderId="12" xfId="0" applyFont="1" applyFill="1" applyBorder="1" applyAlignment="1" applyProtection="1">
      <alignment horizontal="center" vertical="center" wrapText="1"/>
      <protection locked="0"/>
    </xf>
    <xf numFmtId="0" fontId="6" fillId="2" borderId="6" xfId="6" applyFont="1" applyFill="1" applyBorder="1" applyAlignment="1">
      <alignment horizontal="center" vertical="center" wrapText="1"/>
    </xf>
    <xf numFmtId="0" fontId="6" fillId="2" borderId="7" xfId="6" applyFont="1" applyFill="1" applyBorder="1" applyAlignment="1">
      <alignment horizontal="center" vertical="center" wrapText="1"/>
    </xf>
    <xf numFmtId="0" fontId="6" fillId="2" borderId="2" xfId="6" applyFont="1" applyFill="1" applyBorder="1" applyAlignment="1">
      <alignment horizontal="center" vertical="center" wrapText="1"/>
    </xf>
    <xf numFmtId="0" fontId="14" fillId="2" borderId="6" xfId="5" applyFont="1" applyFill="1" applyBorder="1" applyAlignment="1">
      <alignment horizontal="center" vertical="center" wrapText="1"/>
    </xf>
    <xf numFmtId="0" fontId="14" fillId="2" borderId="7" xfId="5" applyFont="1" applyFill="1" applyBorder="1" applyAlignment="1">
      <alignment horizontal="center" vertical="center" wrapText="1"/>
    </xf>
    <xf numFmtId="0" fontId="14" fillId="2" borderId="2" xfId="5" applyFont="1" applyFill="1" applyBorder="1" applyAlignment="1">
      <alignment horizontal="center" vertical="center" wrapText="1"/>
    </xf>
    <xf numFmtId="0" fontId="25" fillId="2" borderId="6" xfId="0" applyFont="1" applyFill="1" applyBorder="1" applyAlignment="1">
      <alignment horizontal="center" vertical="center" wrapText="1"/>
    </xf>
    <xf numFmtId="0" fontId="25" fillId="2" borderId="7" xfId="0" applyFont="1" applyFill="1" applyBorder="1" applyAlignment="1">
      <alignment horizontal="center" vertical="center" wrapText="1"/>
    </xf>
    <xf numFmtId="0" fontId="25" fillId="2" borderId="2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 applyProtection="1">
      <alignment horizontal="center" vertical="center" wrapText="1"/>
      <protection locked="0"/>
    </xf>
    <xf numFmtId="0" fontId="8" fillId="2" borderId="2" xfId="0" applyFont="1" applyFill="1" applyBorder="1" applyAlignment="1" applyProtection="1">
      <alignment horizontal="center" vertical="center" wrapText="1"/>
      <protection locked="0"/>
    </xf>
    <xf numFmtId="16" fontId="2" fillId="2" borderId="6" xfId="0" applyNumberFormat="1" applyFont="1" applyFill="1" applyBorder="1" applyAlignment="1">
      <alignment horizontal="center" vertical="center" wrapText="1"/>
    </xf>
    <xf numFmtId="16" fontId="2" fillId="2" borderId="2" xfId="0" applyNumberFormat="1" applyFont="1" applyFill="1" applyBorder="1" applyAlignment="1">
      <alignment horizontal="center" vertical="center" wrapText="1"/>
    </xf>
    <xf numFmtId="0" fontId="7" fillId="2" borderId="6" xfId="2" applyNumberFormat="1" applyFont="1" applyFill="1" applyBorder="1" applyAlignment="1" applyProtection="1">
      <alignment horizontal="center" vertical="center" wrapText="1"/>
      <protection locked="0"/>
    </xf>
    <xf numFmtId="0" fontId="7" fillId="2" borderId="7" xfId="2" applyNumberFormat="1" applyFont="1" applyFill="1" applyBorder="1" applyAlignment="1" applyProtection="1">
      <alignment horizontal="center" vertical="center" wrapText="1"/>
      <protection locked="0"/>
    </xf>
    <xf numFmtId="0" fontId="7" fillId="2" borderId="2" xfId="2" applyNumberFormat="1" applyFont="1" applyFill="1" applyBorder="1" applyAlignment="1" applyProtection="1">
      <alignment horizontal="center" vertical="center" wrapText="1"/>
      <protection locked="0"/>
    </xf>
    <xf numFmtId="14" fontId="6" fillId="2" borderId="6" xfId="0" applyNumberFormat="1" applyFont="1" applyFill="1" applyBorder="1" applyAlignment="1">
      <alignment horizontal="center" vertical="center" wrapText="1"/>
    </xf>
    <xf numFmtId="14" fontId="6" fillId="2" borderId="7" xfId="0" applyNumberFormat="1" applyFont="1" applyFill="1" applyBorder="1" applyAlignment="1">
      <alignment horizontal="center" vertical="center" wrapText="1"/>
    </xf>
    <xf numFmtId="14" fontId="6" fillId="2" borderId="2" xfId="0" applyNumberFormat="1" applyFont="1" applyFill="1" applyBorder="1" applyAlignment="1">
      <alignment horizontal="center" vertical="center" wrapText="1"/>
    </xf>
    <xf numFmtId="166" fontId="6" fillId="2" borderId="6" xfId="0" applyNumberFormat="1" applyFont="1" applyFill="1" applyBorder="1" applyAlignment="1">
      <alignment horizontal="center" vertical="center" wrapText="1"/>
    </xf>
    <xf numFmtId="166" fontId="6" fillId="2" borderId="7" xfId="0" applyNumberFormat="1" applyFont="1" applyFill="1" applyBorder="1" applyAlignment="1">
      <alignment horizontal="center" vertical="center" wrapText="1"/>
    </xf>
    <xf numFmtId="166" fontId="6" fillId="2" borderId="2" xfId="0" applyNumberFormat="1" applyFont="1" applyFill="1" applyBorder="1" applyAlignment="1">
      <alignment horizontal="center" vertical="center" wrapText="1"/>
    </xf>
    <xf numFmtId="2" fontId="6" fillId="2" borderId="6" xfId="0" applyNumberFormat="1" applyFont="1" applyFill="1" applyBorder="1" applyAlignment="1">
      <alignment horizontal="center" vertical="center" wrapText="1"/>
    </xf>
    <xf numFmtId="2" fontId="6" fillId="2" borderId="7" xfId="0" applyNumberFormat="1" applyFont="1" applyFill="1" applyBorder="1" applyAlignment="1">
      <alignment horizontal="center" vertical="center" wrapText="1"/>
    </xf>
    <xf numFmtId="2" fontId="6" fillId="2" borderId="2" xfId="0" applyNumberFormat="1" applyFont="1" applyFill="1" applyBorder="1" applyAlignment="1">
      <alignment horizontal="center" vertical="center" wrapText="1"/>
    </xf>
    <xf numFmtId="166" fontId="6" fillId="2" borderId="1" xfId="0" applyNumberFormat="1" applyFont="1" applyFill="1" applyBorder="1" applyAlignment="1" applyProtection="1">
      <alignment horizontal="center" vertical="center" wrapText="1"/>
      <protection locked="0"/>
    </xf>
    <xf numFmtId="165" fontId="7" fillId="2" borderId="6" xfId="0" applyNumberFormat="1" applyFont="1" applyFill="1" applyBorder="1" applyAlignment="1" applyProtection="1">
      <alignment horizontal="center" vertical="center" wrapText="1"/>
      <protection locked="0"/>
    </xf>
    <xf numFmtId="165" fontId="7" fillId="2" borderId="7" xfId="0" applyNumberFormat="1" applyFont="1" applyFill="1" applyBorder="1" applyAlignment="1" applyProtection="1">
      <alignment horizontal="center" vertical="center" wrapText="1"/>
      <protection locked="0"/>
    </xf>
    <xf numFmtId="165" fontId="7" fillId="2" borderId="2" xfId="0" applyNumberFormat="1" applyFont="1" applyFill="1" applyBorder="1" applyAlignment="1" applyProtection="1">
      <alignment horizontal="center" vertical="center" wrapText="1"/>
      <protection locked="0"/>
    </xf>
    <xf numFmtId="165" fontId="6" fillId="2" borderId="6" xfId="0" applyNumberFormat="1" applyFont="1" applyFill="1" applyBorder="1" applyAlignment="1" applyProtection="1">
      <alignment horizontal="center" vertical="center" wrapText="1"/>
      <protection locked="0"/>
    </xf>
    <xf numFmtId="165" fontId="6" fillId="2" borderId="7" xfId="0" applyNumberFormat="1" applyFont="1" applyFill="1" applyBorder="1" applyAlignment="1" applyProtection="1">
      <alignment horizontal="center" vertical="center" wrapText="1"/>
      <protection locked="0"/>
    </xf>
    <xf numFmtId="165" fontId="6" fillId="2" borderId="2" xfId="0" applyNumberFormat="1" applyFont="1" applyFill="1" applyBorder="1" applyAlignment="1" applyProtection="1">
      <alignment horizontal="center" vertical="center" wrapText="1"/>
      <protection locked="0"/>
    </xf>
    <xf numFmtId="165" fontId="7" fillId="2" borderId="6" xfId="0" applyNumberFormat="1" applyFont="1" applyFill="1" applyBorder="1" applyAlignment="1" applyProtection="1">
      <alignment horizontal="center" vertical="top" wrapText="1"/>
      <protection locked="0"/>
    </xf>
    <xf numFmtId="165" fontId="7" fillId="2" borderId="7" xfId="0" applyNumberFormat="1" applyFont="1" applyFill="1" applyBorder="1" applyAlignment="1" applyProtection="1">
      <alignment horizontal="center" vertical="top" wrapText="1"/>
      <protection locked="0"/>
    </xf>
    <xf numFmtId="165" fontId="7" fillId="2" borderId="2" xfId="0" applyNumberFormat="1" applyFont="1" applyFill="1" applyBorder="1" applyAlignment="1" applyProtection="1">
      <alignment horizontal="center" vertical="top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18" fillId="2" borderId="6" xfId="0" applyFont="1" applyFill="1" applyBorder="1" applyAlignment="1">
      <alignment horizontal="center" vertical="center" wrapText="1"/>
    </xf>
    <xf numFmtId="0" fontId="18" fillId="2" borderId="2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 applyProtection="1">
      <alignment horizontal="center" vertical="center" wrapText="1"/>
      <protection locked="0"/>
    </xf>
    <xf numFmtId="0" fontId="7" fillId="5" borderId="9" xfId="0" applyFont="1" applyFill="1" applyBorder="1" applyAlignment="1" applyProtection="1">
      <alignment horizontal="center" vertical="center" wrapText="1"/>
      <protection locked="0"/>
    </xf>
    <xf numFmtId="0" fontId="7" fillId="5" borderId="10" xfId="0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Border="1" applyAlignment="1" applyProtection="1">
      <alignment horizontal="center" vertical="center" wrapText="1"/>
      <protection locked="0"/>
    </xf>
    <xf numFmtId="0" fontId="6" fillId="0" borderId="6" xfId="0" applyFont="1" applyFill="1" applyBorder="1" applyAlignment="1">
      <alignment horizontal="left" vertical="center" wrapText="1"/>
    </xf>
    <xf numFmtId="0" fontId="0" fillId="0" borderId="7" xfId="0" applyFill="1" applyBorder="1" applyAlignment="1">
      <alignment horizontal="left" vertical="center" wrapText="1"/>
    </xf>
    <xf numFmtId="0" fontId="0" fillId="0" borderId="2" xfId="0" applyFill="1" applyBorder="1" applyAlignment="1">
      <alignment horizontal="left" vertical="center" wrapText="1"/>
    </xf>
    <xf numFmtId="0" fontId="18" fillId="2" borderId="7" xfId="0" applyFont="1" applyFill="1" applyBorder="1" applyAlignment="1">
      <alignment horizontal="center" vertical="center" wrapText="1"/>
    </xf>
  </cellXfs>
  <cellStyles count="9">
    <cellStyle name="Денежный" xfId="2" builtinId="4"/>
    <cellStyle name="Денежный 2" xfId="8" xr:uid="{00000000-0005-0000-0000-000001000000}"/>
    <cellStyle name="Обычный" xfId="0" builtinId="0"/>
    <cellStyle name="Обычный 2" xfId="4" xr:uid="{00000000-0005-0000-0000-000003000000}"/>
    <cellStyle name="Обычный 3" xfId="5" xr:uid="{00000000-0005-0000-0000-000004000000}"/>
    <cellStyle name="Обычный 30" xfId="6" xr:uid="{00000000-0005-0000-0000-000005000000}"/>
    <cellStyle name="Финансовый" xfId="1" builtinId="3"/>
    <cellStyle name="Финансовый 2" xfId="3" xr:uid="{00000000-0005-0000-0000-000007000000}"/>
    <cellStyle name="Финансовый 3" xfId="7" xr:uid="{00000000-0005-0000-0000-000008000000}"/>
  </cellStyles>
  <dxfs count="0"/>
  <tableStyles count="0" defaultTableStyle="TableStyleMedium2" defaultPivotStyle="PivotStyleLight16"/>
  <colors>
    <mruColors>
      <color rgb="FFFFFFCC"/>
      <color rgb="FFFFCCFF"/>
      <color rgb="FFCCFFCC"/>
      <color rgb="FFCCFFFF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420"/>
  <sheetViews>
    <sheetView tabSelected="1" view="pageBreakPreview" zoomScale="40" zoomScaleNormal="40" zoomScaleSheetLayoutView="40" workbookViewId="0">
      <pane ySplit="3" topLeftCell="A184" activePane="bottomLeft" state="frozen"/>
      <selection pane="bottomLeft" activeCell="F192" sqref="F192:F202"/>
    </sheetView>
  </sheetViews>
  <sheetFormatPr defaultColWidth="9.140625" defaultRowHeight="21" x14ac:dyDescent="0.35"/>
  <cols>
    <col min="1" max="1" width="9.140625" style="66"/>
    <col min="2" max="2" width="101.28515625" style="22" customWidth="1"/>
    <col min="3" max="3" width="36.140625" style="155" customWidth="1"/>
    <col min="4" max="4" width="27.42578125" style="22" customWidth="1"/>
    <col min="5" max="5" width="62.42578125" style="67" customWidth="1"/>
    <col min="6" max="6" width="26.7109375" style="22" customWidth="1"/>
    <col min="7" max="7" width="22.140625" style="22" customWidth="1"/>
    <col min="8" max="8" width="24" style="22" customWidth="1"/>
    <col min="9" max="9" width="24.28515625" style="22" customWidth="1"/>
    <col min="10" max="10" width="26.140625" style="22" customWidth="1"/>
    <col min="11" max="11" width="28.42578125" style="22" customWidth="1"/>
    <col min="12" max="12" width="25.5703125" style="22" customWidth="1"/>
    <col min="13" max="13" width="22" style="22" customWidth="1"/>
    <col min="14" max="14" width="24.85546875" style="22" customWidth="1"/>
    <col min="15" max="15" width="23.85546875" style="22" customWidth="1"/>
    <col min="16" max="16" width="23.42578125" style="22" customWidth="1"/>
    <col min="17" max="17" width="23.7109375" style="22" customWidth="1"/>
    <col min="18" max="18" width="25.85546875" style="22" customWidth="1"/>
    <col min="19" max="19" width="26.140625" style="22" customWidth="1"/>
    <col min="20" max="20" width="25.5703125" style="22" customWidth="1"/>
    <col min="21" max="21" width="25.28515625" style="71" customWidth="1"/>
    <col min="22" max="22" width="9.140625" style="22"/>
    <col min="23" max="23" width="34.5703125" style="22" customWidth="1"/>
    <col min="24" max="24" width="13.42578125" style="22" bestFit="1" customWidth="1"/>
    <col min="25" max="16384" width="9.140625" style="22"/>
  </cols>
  <sheetData>
    <row r="1" spans="1:22" s="1" customFormat="1" ht="33" x14ac:dyDescent="0.25">
      <c r="A1" s="74"/>
      <c r="B1" s="345" t="s">
        <v>535</v>
      </c>
      <c r="C1" s="345"/>
      <c r="D1" s="345"/>
      <c r="E1" s="345"/>
      <c r="F1" s="345"/>
      <c r="G1" s="345"/>
      <c r="H1" s="345"/>
      <c r="I1" s="345"/>
      <c r="J1" s="345"/>
      <c r="K1" s="345"/>
      <c r="L1" s="345"/>
      <c r="M1" s="345"/>
      <c r="N1" s="345"/>
      <c r="O1" s="345"/>
      <c r="P1" s="345"/>
      <c r="Q1" s="345"/>
      <c r="R1" s="345"/>
      <c r="S1" s="345"/>
      <c r="T1" s="345"/>
      <c r="U1" s="346"/>
      <c r="V1" s="75"/>
    </row>
    <row r="2" spans="1:22" s="1" customFormat="1" ht="58.5" customHeight="1" x14ac:dyDescent="0.25">
      <c r="A2" s="350" t="s">
        <v>0</v>
      </c>
      <c r="B2" s="350" t="s">
        <v>1</v>
      </c>
      <c r="C2" s="350" t="s">
        <v>2</v>
      </c>
      <c r="D2" s="352" t="s">
        <v>3</v>
      </c>
      <c r="E2" s="350" t="s">
        <v>4</v>
      </c>
      <c r="F2" s="353" t="s">
        <v>5</v>
      </c>
      <c r="G2" s="353"/>
      <c r="H2" s="353"/>
      <c r="I2" s="350" t="s">
        <v>126</v>
      </c>
      <c r="J2" s="350"/>
      <c r="K2" s="350"/>
      <c r="L2" s="350"/>
      <c r="M2" s="350"/>
      <c r="N2" s="350"/>
      <c r="O2" s="350"/>
      <c r="P2" s="350"/>
      <c r="Q2" s="350"/>
      <c r="R2" s="350"/>
      <c r="S2" s="350"/>
      <c r="T2" s="350"/>
      <c r="U2" s="359" t="s">
        <v>6</v>
      </c>
    </row>
    <row r="3" spans="1:22" s="1" customFormat="1" ht="122.25" customHeight="1" x14ac:dyDescent="0.25">
      <c r="A3" s="351"/>
      <c r="B3" s="351"/>
      <c r="C3" s="351"/>
      <c r="D3" s="351"/>
      <c r="E3" s="351"/>
      <c r="F3" s="2" t="s">
        <v>7</v>
      </c>
      <c r="G3" s="2" t="s">
        <v>8</v>
      </c>
      <c r="H3" s="2" t="s">
        <v>9</v>
      </c>
      <c r="I3" s="3" t="s">
        <v>10</v>
      </c>
      <c r="J3" s="4" t="s">
        <v>11</v>
      </c>
      <c r="K3" s="5" t="s">
        <v>12</v>
      </c>
      <c r="L3" s="6" t="s">
        <v>13</v>
      </c>
      <c r="M3" s="6" t="s">
        <v>14</v>
      </c>
      <c r="N3" s="6" t="s">
        <v>15</v>
      </c>
      <c r="O3" s="6" t="s">
        <v>16</v>
      </c>
      <c r="P3" s="6" t="s">
        <v>17</v>
      </c>
      <c r="Q3" s="6" t="s">
        <v>18</v>
      </c>
      <c r="R3" s="6" t="s">
        <v>19</v>
      </c>
      <c r="S3" s="6" t="s">
        <v>351</v>
      </c>
      <c r="T3" s="7" t="s">
        <v>20</v>
      </c>
      <c r="U3" s="359"/>
    </row>
    <row r="4" spans="1:22" s="11" customFormat="1" ht="29.25" customHeight="1" x14ac:dyDescent="0.25">
      <c r="A4" s="8">
        <v>1</v>
      </c>
      <c r="B4" s="9">
        <v>2</v>
      </c>
      <c r="C4" s="9">
        <v>3</v>
      </c>
      <c r="D4" s="9">
        <v>4</v>
      </c>
      <c r="E4" s="9">
        <v>5</v>
      </c>
      <c r="F4" s="10">
        <v>6</v>
      </c>
      <c r="G4" s="10">
        <v>7</v>
      </c>
      <c r="H4" s="10">
        <v>8</v>
      </c>
      <c r="I4" s="10">
        <v>9</v>
      </c>
      <c r="J4" s="10">
        <v>10</v>
      </c>
      <c r="K4" s="10" t="s">
        <v>21</v>
      </c>
      <c r="L4" s="10">
        <v>12</v>
      </c>
      <c r="M4" s="10">
        <v>13</v>
      </c>
      <c r="N4" s="10">
        <v>14</v>
      </c>
      <c r="O4" s="10">
        <v>15</v>
      </c>
      <c r="P4" s="10">
        <v>16</v>
      </c>
      <c r="Q4" s="10">
        <v>17</v>
      </c>
      <c r="R4" s="10">
        <v>18</v>
      </c>
      <c r="S4" s="10">
        <v>19</v>
      </c>
      <c r="T4" s="10">
        <v>20</v>
      </c>
      <c r="U4" s="239">
        <v>21</v>
      </c>
    </row>
    <row r="5" spans="1:22" s="11" customFormat="1" ht="35.25" customHeight="1" x14ac:dyDescent="0.25">
      <c r="A5" s="373" t="s">
        <v>117</v>
      </c>
      <c r="B5" s="373"/>
      <c r="C5" s="373"/>
      <c r="D5" s="373"/>
      <c r="E5" s="373"/>
      <c r="F5" s="373"/>
      <c r="G5" s="373"/>
      <c r="H5" s="373"/>
      <c r="I5" s="373"/>
      <c r="J5" s="373"/>
      <c r="K5" s="373"/>
      <c r="L5" s="373"/>
      <c r="M5" s="373"/>
      <c r="N5" s="373"/>
      <c r="O5" s="373"/>
      <c r="P5" s="373"/>
      <c r="Q5" s="373"/>
      <c r="R5" s="373"/>
      <c r="S5" s="373"/>
      <c r="T5" s="373"/>
      <c r="U5" s="78"/>
    </row>
    <row r="6" spans="1:22" s="11" customFormat="1" ht="51" customHeight="1" x14ac:dyDescent="0.25">
      <c r="A6" s="336">
        <v>1</v>
      </c>
      <c r="B6" s="139" t="s">
        <v>22</v>
      </c>
      <c r="C6" s="354" t="s">
        <v>23</v>
      </c>
      <c r="D6" s="354" t="s">
        <v>24</v>
      </c>
      <c r="E6" s="268" t="s">
        <v>209</v>
      </c>
      <c r="F6" s="283" t="s">
        <v>25</v>
      </c>
      <c r="G6" s="283" t="s">
        <v>45</v>
      </c>
      <c r="H6" s="283" t="s">
        <v>38</v>
      </c>
      <c r="I6" s="131" t="s">
        <v>27</v>
      </c>
      <c r="J6" s="131">
        <v>249</v>
      </c>
      <c r="K6" s="131" t="s">
        <v>199</v>
      </c>
      <c r="L6" s="14"/>
      <c r="M6" s="14"/>
      <c r="N6" s="21"/>
      <c r="O6" s="21"/>
      <c r="P6" s="21"/>
      <c r="Q6" s="21">
        <v>2888.7</v>
      </c>
      <c r="R6" s="21"/>
      <c r="S6" s="21"/>
      <c r="T6" s="15">
        <f>SUM(L6:R6)</f>
        <v>2888.7</v>
      </c>
      <c r="U6" s="287"/>
    </row>
    <row r="7" spans="1:22" s="11" customFormat="1" ht="23.25" customHeight="1" x14ac:dyDescent="0.25">
      <c r="A7" s="336"/>
      <c r="B7" s="279" t="s">
        <v>197</v>
      </c>
      <c r="C7" s="355"/>
      <c r="D7" s="355"/>
      <c r="E7" s="269"/>
      <c r="F7" s="284"/>
      <c r="G7" s="284"/>
      <c r="H7" s="284"/>
      <c r="I7" s="131" t="s">
        <v>28</v>
      </c>
      <c r="J7" s="131">
        <v>249</v>
      </c>
      <c r="K7" s="131" t="s">
        <v>200</v>
      </c>
      <c r="L7" s="14"/>
      <c r="M7" s="14"/>
      <c r="N7" s="21">
        <v>1972.7</v>
      </c>
      <c r="O7" s="21">
        <v>3789.3</v>
      </c>
      <c r="P7" s="21">
        <v>3848.4</v>
      </c>
      <c r="Q7" s="21">
        <v>5297.3</v>
      </c>
      <c r="R7" s="21">
        <v>5908.4</v>
      </c>
      <c r="S7" s="21"/>
      <c r="T7" s="15">
        <f t="shared" ref="T7:T13" si="0">SUM(L7:R7)</f>
        <v>20816.099999999999</v>
      </c>
      <c r="U7" s="288"/>
    </row>
    <row r="8" spans="1:22" s="11" customFormat="1" ht="23.25" x14ac:dyDescent="0.25">
      <c r="A8" s="336"/>
      <c r="B8" s="280"/>
      <c r="C8" s="355"/>
      <c r="D8" s="355"/>
      <c r="E8" s="269"/>
      <c r="F8" s="284"/>
      <c r="G8" s="284"/>
      <c r="H8" s="284"/>
      <c r="I8" s="131" t="s">
        <v>27</v>
      </c>
      <c r="J8" s="131"/>
      <c r="K8" s="131" t="s">
        <v>201</v>
      </c>
      <c r="L8" s="14"/>
      <c r="M8" s="14"/>
      <c r="N8" s="21">
        <v>8443.7999999999993</v>
      </c>
      <c r="O8" s="21">
        <v>2533.1</v>
      </c>
      <c r="P8" s="21"/>
      <c r="Q8" s="21">
        <v>10351.5</v>
      </c>
      <c r="R8" s="21">
        <v>4432.6000000000004</v>
      </c>
      <c r="S8" s="21"/>
      <c r="T8" s="15">
        <f t="shared" si="0"/>
        <v>25761</v>
      </c>
      <c r="U8" s="288"/>
    </row>
    <row r="9" spans="1:22" s="11" customFormat="1" ht="23.25" x14ac:dyDescent="0.25">
      <c r="A9" s="336"/>
      <c r="B9" s="281"/>
      <c r="C9" s="355"/>
      <c r="D9" s="355"/>
      <c r="E9" s="269"/>
      <c r="F9" s="284"/>
      <c r="G9" s="284"/>
      <c r="H9" s="284"/>
      <c r="I9" s="131" t="s">
        <v>27</v>
      </c>
      <c r="J9" s="131"/>
      <c r="K9" s="131" t="s">
        <v>202</v>
      </c>
      <c r="L9" s="14"/>
      <c r="M9" s="14"/>
      <c r="N9" s="21">
        <v>1203.2</v>
      </c>
      <c r="O9" s="21"/>
      <c r="P9" s="21"/>
      <c r="Q9" s="21"/>
      <c r="R9" s="21"/>
      <c r="S9" s="21"/>
      <c r="T9" s="15">
        <f t="shared" si="0"/>
        <v>1203.2</v>
      </c>
      <c r="U9" s="288"/>
    </row>
    <row r="10" spans="1:22" s="11" customFormat="1" ht="48.6" customHeight="1" x14ac:dyDescent="0.25">
      <c r="A10" s="336"/>
      <c r="B10" s="139" t="s">
        <v>204</v>
      </c>
      <c r="C10" s="355"/>
      <c r="D10" s="355"/>
      <c r="E10" s="269"/>
      <c r="F10" s="284"/>
      <c r="G10" s="284"/>
      <c r="H10" s="284"/>
      <c r="I10" s="131" t="s">
        <v>27</v>
      </c>
      <c r="J10" s="131"/>
      <c r="K10" s="131" t="s">
        <v>201</v>
      </c>
      <c r="L10" s="14"/>
      <c r="M10" s="14"/>
      <c r="N10" s="21"/>
      <c r="O10" s="21"/>
      <c r="P10" s="21"/>
      <c r="Q10" s="21">
        <v>3348.9</v>
      </c>
      <c r="R10" s="21">
        <v>2029.3</v>
      </c>
      <c r="S10" s="21"/>
      <c r="T10" s="15">
        <f t="shared" si="0"/>
        <v>5378.2</v>
      </c>
      <c r="U10" s="288"/>
    </row>
    <row r="11" spans="1:22" s="11" customFormat="1" ht="52.9" customHeight="1" x14ac:dyDescent="0.25">
      <c r="A11" s="336"/>
      <c r="B11" s="139" t="s">
        <v>205</v>
      </c>
      <c r="C11" s="355"/>
      <c r="D11" s="355"/>
      <c r="E11" s="269"/>
      <c r="F11" s="284"/>
      <c r="G11" s="284"/>
      <c r="H11" s="284"/>
      <c r="I11" s="131" t="s">
        <v>27</v>
      </c>
      <c r="J11" s="131"/>
      <c r="K11" s="131" t="s">
        <v>201</v>
      </c>
      <c r="L11" s="14"/>
      <c r="M11" s="14"/>
      <c r="N11" s="21"/>
      <c r="O11" s="21"/>
      <c r="P11" s="21"/>
      <c r="Q11" s="21">
        <v>949.9</v>
      </c>
      <c r="R11" s="21">
        <v>2403.4</v>
      </c>
      <c r="S11" s="21"/>
      <c r="T11" s="15">
        <f t="shared" si="0"/>
        <v>3353.3</v>
      </c>
      <c r="U11" s="288"/>
    </row>
    <row r="12" spans="1:22" s="11" customFormat="1" ht="28.5" customHeight="1" x14ac:dyDescent="0.25">
      <c r="A12" s="336"/>
      <c r="B12" s="139" t="s">
        <v>198</v>
      </c>
      <c r="C12" s="355"/>
      <c r="D12" s="355"/>
      <c r="E12" s="269"/>
      <c r="F12" s="284"/>
      <c r="G12" s="284"/>
      <c r="H12" s="284"/>
      <c r="I12" s="131" t="s">
        <v>203</v>
      </c>
      <c r="J12" s="131"/>
      <c r="K12" s="126"/>
      <c r="L12" s="14"/>
      <c r="M12" s="14"/>
      <c r="N12" s="21"/>
      <c r="O12" s="21">
        <v>2198.1</v>
      </c>
      <c r="P12" s="21">
        <v>1271.9000000000001</v>
      </c>
      <c r="Q12" s="21">
        <v>1855</v>
      </c>
      <c r="R12" s="21">
        <v>2489.9</v>
      </c>
      <c r="S12" s="21"/>
      <c r="T12" s="15">
        <f t="shared" si="0"/>
        <v>7814.9</v>
      </c>
      <c r="U12" s="288"/>
    </row>
    <row r="13" spans="1:22" s="11" customFormat="1" ht="69.599999999999994" customHeight="1" x14ac:dyDescent="0.25">
      <c r="A13" s="336"/>
      <c r="B13" s="139" t="s">
        <v>206</v>
      </c>
      <c r="C13" s="356"/>
      <c r="D13" s="356"/>
      <c r="E13" s="270"/>
      <c r="F13" s="285"/>
      <c r="G13" s="285"/>
      <c r="H13" s="285"/>
      <c r="I13" s="131" t="s">
        <v>203</v>
      </c>
      <c r="J13" s="131"/>
      <c r="K13" s="126"/>
      <c r="L13" s="14"/>
      <c r="M13" s="14"/>
      <c r="N13" s="21">
        <v>120261.5</v>
      </c>
      <c r="O13" s="21">
        <v>128201.5</v>
      </c>
      <c r="P13" s="21">
        <v>132211</v>
      </c>
      <c r="Q13" s="21">
        <v>152608.6</v>
      </c>
      <c r="R13" s="21">
        <v>208991.8</v>
      </c>
      <c r="S13" s="21"/>
      <c r="T13" s="15">
        <f t="shared" si="0"/>
        <v>742274.39999999991</v>
      </c>
      <c r="U13" s="289"/>
    </row>
    <row r="14" spans="1:22" s="11" customFormat="1" ht="28.15" customHeight="1" x14ac:dyDescent="0.25">
      <c r="A14" s="336"/>
      <c r="B14" s="16" t="s">
        <v>116</v>
      </c>
      <c r="C14" s="152"/>
      <c r="D14" s="16"/>
      <c r="E14" s="17"/>
      <c r="F14" s="16"/>
      <c r="G14" s="16"/>
      <c r="H14" s="16"/>
      <c r="I14" s="16"/>
      <c r="J14" s="16"/>
      <c r="K14" s="16"/>
      <c r="L14" s="18">
        <f t="shared" ref="L14" si="1">SUM(L6:L13)</f>
        <v>0</v>
      </c>
      <c r="M14" s="18">
        <f>M6+M7+M8+M9+M10+M11+M12+M13</f>
        <v>0</v>
      </c>
      <c r="N14" s="18">
        <f t="shared" ref="N14:T14" si="2">N6+N7+N8+N9+N10+N11+N12+N13</f>
        <v>131881.20000000001</v>
      </c>
      <c r="O14" s="18">
        <f t="shared" si="2"/>
        <v>136722</v>
      </c>
      <c r="P14" s="18">
        <f t="shared" si="2"/>
        <v>137331.29999999999</v>
      </c>
      <c r="Q14" s="18">
        <f t="shared" si="2"/>
        <v>177299.90000000002</v>
      </c>
      <c r="R14" s="18">
        <f t="shared" si="2"/>
        <v>226255.4</v>
      </c>
      <c r="S14" s="18">
        <f t="shared" si="2"/>
        <v>0</v>
      </c>
      <c r="T14" s="18">
        <f t="shared" si="2"/>
        <v>809489.79999999993</v>
      </c>
      <c r="U14" s="19"/>
    </row>
    <row r="15" spans="1:22" ht="46.9" customHeight="1" x14ac:dyDescent="0.25">
      <c r="A15" s="339">
        <v>2</v>
      </c>
      <c r="B15" s="212" t="s">
        <v>33</v>
      </c>
      <c r="C15" s="292" t="s">
        <v>31</v>
      </c>
      <c r="D15" s="292" t="s">
        <v>24</v>
      </c>
      <c r="E15" s="374" t="s">
        <v>326</v>
      </c>
      <c r="F15" s="292" t="s">
        <v>327</v>
      </c>
      <c r="G15" s="292" t="s">
        <v>64</v>
      </c>
      <c r="H15" s="292" t="s">
        <v>42</v>
      </c>
      <c r="I15" s="213" t="s">
        <v>27</v>
      </c>
      <c r="J15" s="214">
        <v>258</v>
      </c>
      <c r="K15" s="214"/>
      <c r="L15" s="222"/>
      <c r="M15" s="21"/>
      <c r="N15" s="21"/>
      <c r="O15" s="21"/>
      <c r="P15" s="21"/>
      <c r="Q15" s="21"/>
      <c r="R15" s="21"/>
      <c r="S15" s="21"/>
      <c r="T15" s="219">
        <f>L15+M15+N15+O15+P15+Q15+R15+S15</f>
        <v>0</v>
      </c>
      <c r="U15" s="95"/>
    </row>
    <row r="16" spans="1:22" ht="32.25" customHeight="1" x14ac:dyDescent="0.25">
      <c r="A16" s="340"/>
      <c r="B16" s="215" t="s">
        <v>328</v>
      </c>
      <c r="C16" s="293"/>
      <c r="D16" s="293"/>
      <c r="E16" s="375"/>
      <c r="F16" s="293"/>
      <c r="G16" s="293"/>
      <c r="H16" s="293"/>
      <c r="I16" s="213" t="s">
        <v>27</v>
      </c>
      <c r="J16" s="214">
        <v>275</v>
      </c>
      <c r="K16" s="214"/>
      <c r="L16" s="222"/>
      <c r="M16" s="21"/>
      <c r="N16" s="21"/>
      <c r="O16" s="21"/>
      <c r="P16" s="21"/>
      <c r="Q16" s="21"/>
      <c r="R16" s="23"/>
      <c r="S16" s="23"/>
      <c r="T16" s="219">
        <f t="shared" ref="T16:T36" si="3">L16+M16+N16+O16+P16+Q16+R16+S16</f>
        <v>0</v>
      </c>
      <c r="U16" s="96"/>
    </row>
    <row r="17" spans="1:21" ht="33" customHeight="1" x14ac:dyDescent="0.25">
      <c r="A17" s="340"/>
      <c r="B17" s="279" t="s">
        <v>329</v>
      </c>
      <c r="C17" s="293"/>
      <c r="D17" s="293"/>
      <c r="E17" s="375"/>
      <c r="F17" s="293"/>
      <c r="G17" s="293"/>
      <c r="H17" s="293"/>
      <c r="I17" s="292" t="s">
        <v>27</v>
      </c>
      <c r="J17" s="312">
        <v>288</v>
      </c>
      <c r="K17" s="214" t="s">
        <v>330</v>
      </c>
      <c r="L17" s="222"/>
      <c r="M17" s="21"/>
      <c r="N17" s="21"/>
      <c r="O17" s="21"/>
      <c r="P17" s="21"/>
      <c r="Q17" s="21"/>
      <c r="R17" s="21">
        <v>1560</v>
      </c>
      <c r="S17" s="21">
        <v>1469.5</v>
      </c>
      <c r="T17" s="219">
        <f t="shared" si="3"/>
        <v>3029.5</v>
      </c>
      <c r="U17" s="96"/>
    </row>
    <row r="18" spans="1:21" ht="30.75" customHeight="1" x14ac:dyDescent="0.25">
      <c r="A18" s="340"/>
      <c r="B18" s="280"/>
      <c r="C18" s="293"/>
      <c r="D18" s="293"/>
      <c r="E18" s="375"/>
      <c r="F18" s="293"/>
      <c r="G18" s="293"/>
      <c r="H18" s="293"/>
      <c r="I18" s="293"/>
      <c r="J18" s="319"/>
      <c r="K18" s="214" t="s">
        <v>331</v>
      </c>
      <c r="L18" s="222"/>
      <c r="M18" s="21"/>
      <c r="N18" s="21"/>
      <c r="O18" s="21"/>
      <c r="P18" s="21"/>
      <c r="Q18" s="21">
        <v>583.04</v>
      </c>
      <c r="R18" s="21">
        <v>91.834000000000003</v>
      </c>
      <c r="S18" s="21"/>
      <c r="T18" s="219">
        <f t="shared" si="3"/>
        <v>674.87400000000002</v>
      </c>
      <c r="U18" s="96"/>
    </row>
    <row r="19" spans="1:21" ht="29.25" customHeight="1" x14ac:dyDescent="0.25">
      <c r="A19" s="340"/>
      <c r="B19" s="281"/>
      <c r="C19" s="293"/>
      <c r="D19" s="293"/>
      <c r="E19" s="375"/>
      <c r="F19" s="293"/>
      <c r="G19" s="293"/>
      <c r="H19" s="293"/>
      <c r="I19" s="294"/>
      <c r="J19" s="313"/>
      <c r="K19" s="214" t="s">
        <v>332</v>
      </c>
      <c r="L19" s="222"/>
      <c r="M19" s="21"/>
      <c r="N19" s="21"/>
      <c r="O19" s="21"/>
      <c r="P19" s="21"/>
      <c r="Q19" s="21"/>
      <c r="R19" s="21">
        <v>537.54499999999996</v>
      </c>
      <c r="S19" s="21"/>
      <c r="T19" s="219">
        <f t="shared" si="3"/>
        <v>537.54499999999996</v>
      </c>
      <c r="U19" s="96"/>
    </row>
    <row r="20" spans="1:21" ht="34.5" customHeight="1" x14ac:dyDescent="0.25">
      <c r="A20" s="340"/>
      <c r="B20" s="279" t="s">
        <v>333</v>
      </c>
      <c r="C20" s="293"/>
      <c r="D20" s="293"/>
      <c r="E20" s="375"/>
      <c r="F20" s="293"/>
      <c r="G20" s="293"/>
      <c r="H20" s="293"/>
      <c r="I20" s="292" t="s">
        <v>27</v>
      </c>
      <c r="J20" s="312"/>
      <c r="K20" s="214" t="s">
        <v>334</v>
      </c>
      <c r="L20" s="222"/>
      <c r="M20" s="21"/>
      <c r="N20" s="21"/>
      <c r="O20" s="21"/>
      <c r="P20" s="21">
        <v>900</v>
      </c>
      <c r="Q20" s="21"/>
      <c r="R20" s="21"/>
      <c r="S20" s="21"/>
      <c r="T20" s="219">
        <f t="shared" si="3"/>
        <v>900</v>
      </c>
      <c r="U20" s="96"/>
    </row>
    <row r="21" spans="1:21" ht="30" customHeight="1" x14ac:dyDescent="0.25">
      <c r="A21" s="340"/>
      <c r="B21" s="280"/>
      <c r="C21" s="293"/>
      <c r="D21" s="293"/>
      <c r="E21" s="375"/>
      <c r="F21" s="293"/>
      <c r="G21" s="293"/>
      <c r="H21" s="293"/>
      <c r="I21" s="293"/>
      <c r="J21" s="319"/>
      <c r="K21" s="214" t="s">
        <v>335</v>
      </c>
      <c r="L21" s="222"/>
      <c r="M21" s="21"/>
      <c r="N21" s="21"/>
      <c r="O21" s="21"/>
      <c r="P21" s="21"/>
      <c r="Q21" s="21">
        <v>8746.4979999999996</v>
      </c>
      <c r="R21" s="21">
        <v>529.36120000000005</v>
      </c>
      <c r="S21" s="21"/>
      <c r="T21" s="219">
        <f t="shared" si="3"/>
        <v>9275.859199999999</v>
      </c>
      <c r="U21" s="96"/>
    </row>
    <row r="22" spans="1:21" ht="23.25" x14ac:dyDescent="0.25">
      <c r="A22" s="340"/>
      <c r="B22" s="281"/>
      <c r="C22" s="293"/>
      <c r="D22" s="293"/>
      <c r="E22" s="375"/>
      <c r="F22" s="293"/>
      <c r="G22" s="293"/>
      <c r="H22" s="293"/>
      <c r="I22" s="294"/>
      <c r="J22" s="313"/>
      <c r="K22" s="214" t="s">
        <v>332</v>
      </c>
      <c r="L22" s="222"/>
      <c r="M22" s="21"/>
      <c r="N22" s="21"/>
      <c r="O22" s="21"/>
      <c r="P22" s="21"/>
      <c r="Q22" s="21">
        <v>1437.5909999999999</v>
      </c>
      <c r="R22" s="21">
        <v>4931.8339999999998</v>
      </c>
      <c r="S22" s="21">
        <v>458.82400000000001</v>
      </c>
      <c r="T22" s="219">
        <f t="shared" si="3"/>
        <v>6828.2489999999989</v>
      </c>
      <c r="U22" s="96"/>
    </row>
    <row r="23" spans="1:21" ht="34.5" customHeight="1" x14ac:dyDescent="0.25">
      <c r="A23" s="340"/>
      <c r="B23" s="279" t="s">
        <v>337</v>
      </c>
      <c r="C23" s="293"/>
      <c r="D23" s="293"/>
      <c r="E23" s="375"/>
      <c r="F23" s="293"/>
      <c r="G23" s="293"/>
      <c r="H23" s="293"/>
      <c r="I23" s="292" t="s">
        <v>27</v>
      </c>
      <c r="J23" s="312">
        <v>466</v>
      </c>
      <c r="K23" s="214" t="s">
        <v>335</v>
      </c>
      <c r="L23" s="222"/>
      <c r="M23" s="21"/>
      <c r="N23" s="21"/>
      <c r="O23" s="21"/>
      <c r="P23" s="21"/>
      <c r="Q23" s="21"/>
      <c r="R23" s="21">
        <v>331.24099999999999</v>
      </c>
      <c r="S23" s="21"/>
      <c r="T23" s="219">
        <f t="shared" si="3"/>
        <v>331.24099999999999</v>
      </c>
      <c r="U23" s="96"/>
    </row>
    <row r="24" spans="1:21" ht="38.25" customHeight="1" x14ac:dyDescent="0.25">
      <c r="A24" s="340"/>
      <c r="B24" s="281"/>
      <c r="C24" s="293"/>
      <c r="D24" s="293"/>
      <c r="E24" s="375"/>
      <c r="F24" s="293"/>
      <c r="G24" s="293"/>
      <c r="H24" s="293"/>
      <c r="I24" s="294"/>
      <c r="J24" s="313"/>
      <c r="K24" s="214" t="s">
        <v>336</v>
      </c>
      <c r="L24" s="222"/>
      <c r="M24" s="21"/>
      <c r="N24" s="21"/>
      <c r="O24" s="21"/>
      <c r="P24" s="21"/>
      <c r="Q24" s="21"/>
      <c r="R24" s="21">
        <v>456.358</v>
      </c>
      <c r="S24" s="21"/>
      <c r="T24" s="219">
        <f t="shared" si="3"/>
        <v>456.358</v>
      </c>
      <c r="U24" s="96"/>
    </row>
    <row r="25" spans="1:21" ht="46.5" x14ac:dyDescent="0.25">
      <c r="A25" s="340"/>
      <c r="B25" s="216" t="s">
        <v>35</v>
      </c>
      <c r="C25" s="293"/>
      <c r="D25" s="293"/>
      <c r="E25" s="375"/>
      <c r="F25" s="293"/>
      <c r="G25" s="293"/>
      <c r="H25" s="293"/>
      <c r="I25" s="213" t="s">
        <v>27</v>
      </c>
      <c r="J25" s="214">
        <v>279</v>
      </c>
      <c r="K25" s="214" t="s">
        <v>338</v>
      </c>
      <c r="L25" s="222"/>
      <c r="M25" s="21"/>
      <c r="N25" s="21"/>
      <c r="O25" s="21">
        <v>3449.4</v>
      </c>
      <c r="P25" s="21"/>
      <c r="Q25" s="21">
        <v>2163.5888</v>
      </c>
      <c r="R25" s="21">
        <v>2717.4485</v>
      </c>
      <c r="S25" s="21"/>
      <c r="T25" s="219">
        <f t="shared" si="3"/>
        <v>8330.4372999999996</v>
      </c>
      <c r="U25" s="96"/>
    </row>
    <row r="26" spans="1:21" ht="53.45" customHeight="1" x14ac:dyDescent="0.25">
      <c r="A26" s="340"/>
      <c r="B26" s="216" t="s">
        <v>340</v>
      </c>
      <c r="C26" s="293"/>
      <c r="D26" s="293"/>
      <c r="E26" s="375"/>
      <c r="F26" s="293"/>
      <c r="G26" s="293"/>
      <c r="H26" s="293"/>
      <c r="I26" s="213" t="s">
        <v>27</v>
      </c>
      <c r="J26" s="214">
        <v>458</v>
      </c>
      <c r="K26" s="214" t="s">
        <v>339</v>
      </c>
      <c r="L26" s="222"/>
      <c r="M26" s="21"/>
      <c r="N26" s="21"/>
      <c r="O26" s="21"/>
      <c r="P26" s="21"/>
      <c r="Q26" s="21">
        <v>687.46100000000001</v>
      </c>
      <c r="R26" s="21"/>
      <c r="S26" s="21"/>
      <c r="T26" s="219">
        <f t="shared" si="3"/>
        <v>687.46100000000001</v>
      </c>
      <c r="U26" s="96"/>
    </row>
    <row r="27" spans="1:21" ht="57.6" customHeight="1" x14ac:dyDescent="0.25">
      <c r="A27" s="340"/>
      <c r="B27" s="216" t="s">
        <v>341</v>
      </c>
      <c r="C27" s="293"/>
      <c r="D27" s="293"/>
      <c r="E27" s="375"/>
      <c r="F27" s="293"/>
      <c r="G27" s="293"/>
      <c r="H27" s="293"/>
      <c r="I27" s="213" t="s">
        <v>27</v>
      </c>
      <c r="J27" s="214">
        <v>453</v>
      </c>
      <c r="K27" s="214" t="s">
        <v>339</v>
      </c>
      <c r="L27" s="222"/>
      <c r="M27" s="21"/>
      <c r="N27" s="21"/>
      <c r="O27" s="21"/>
      <c r="P27" s="21"/>
      <c r="Q27" s="21"/>
      <c r="R27" s="21">
        <v>483.803</v>
      </c>
      <c r="S27" s="21"/>
      <c r="T27" s="219">
        <f t="shared" si="3"/>
        <v>483.803</v>
      </c>
      <c r="U27" s="96"/>
    </row>
    <row r="28" spans="1:21" ht="30.75" customHeight="1" x14ac:dyDescent="0.25">
      <c r="A28" s="340"/>
      <c r="B28" s="279" t="s">
        <v>352</v>
      </c>
      <c r="C28" s="293"/>
      <c r="D28" s="293"/>
      <c r="E28" s="375"/>
      <c r="F28" s="293"/>
      <c r="G28" s="293"/>
      <c r="H28" s="293"/>
      <c r="I28" s="292" t="s">
        <v>27</v>
      </c>
      <c r="J28" s="312">
        <v>456</v>
      </c>
      <c r="K28" s="214" t="s">
        <v>342</v>
      </c>
      <c r="L28" s="222"/>
      <c r="M28" s="21"/>
      <c r="N28" s="21"/>
      <c r="O28" s="21"/>
      <c r="P28" s="21"/>
      <c r="Q28" s="21"/>
      <c r="R28" s="21">
        <v>309.202</v>
      </c>
      <c r="S28" s="21"/>
      <c r="T28" s="219">
        <f t="shared" si="3"/>
        <v>309.202</v>
      </c>
      <c r="U28" s="96"/>
    </row>
    <row r="29" spans="1:21" ht="30.75" customHeight="1" x14ac:dyDescent="0.25">
      <c r="A29" s="340"/>
      <c r="B29" s="280"/>
      <c r="C29" s="293"/>
      <c r="D29" s="293"/>
      <c r="E29" s="375"/>
      <c r="F29" s="293"/>
      <c r="G29" s="293"/>
      <c r="H29" s="293"/>
      <c r="I29" s="293"/>
      <c r="J29" s="319"/>
      <c r="K29" s="214" t="s">
        <v>343</v>
      </c>
      <c r="L29" s="222"/>
      <c r="M29" s="21"/>
      <c r="N29" s="21"/>
      <c r="O29" s="21"/>
      <c r="P29" s="21"/>
      <c r="Q29" s="21"/>
      <c r="R29" s="21">
        <v>520.33600000000001</v>
      </c>
      <c r="S29" s="21"/>
      <c r="T29" s="219">
        <f t="shared" si="3"/>
        <v>520.33600000000001</v>
      </c>
      <c r="U29" s="96"/>
    </row>
    <row r="30" spans="1:21" ht="33" customHeight="1" x14ac:dyDescent="0.25">
      <c r="A30" s="340"/>
      <c r="B30" s="281"/>
      <c r="C30" s="293"/>
      <c r="D30" s="293"/>
      <c r="E30" s="375"/>
      <c r="F30" s="293"/>
      <c r="G30" s="293"/>
      <c r="H30" s="293"/>
      <c r="I30" s="294"/>
      <c r="J30" s="313"/>
      <c r="K30" s="214" t="s">
        <v>344</v>
      </c>
      <c r="L30" s="222"/>
      <c r="M30" s="21"/>
      <c r="N30" s="21"/>
      <c r="O30" s="21">
        <v>450</v>
      </c>
      <c r="P30" s="21"/>
      <c r="Q30" s="21"/>
      <c r="R30" s="21">
        <v>374.60399999999998</v>
      </c>
      <c r="S30" s="21"/>
      <c r="T30" s="219">
        <f t="shared" si="3"/>
        <v>824.60400000000004</v>
      </c>
      <c r="U30" s="96"/>
    </row>
    <row r="31" spans="1:21" ht="31.5" customHeight="1" x14ac:dyDescent="0.25">
      <c r="A31" s="340"/>
      <c r="B31" s="279" t="s">
        <v>345</v>
      </c>
      <c r="C31" s="293"/>
      <c r="D31" s="293"/>
      <c r="E31" s="375"/>
      <c r="F31" s="293"/>
      <c r="G31" s="293"/>
      <c r="H31" s="293"/>
      <c r="I31" s="213" t="s">
        <v>27</v>
      </c>
      <c r="J31" s="214">
        <v>255</v>
      </c>
      <c r="K31" s="214" t="s">
        <v>346</v>
      </c>
      <c r="L31" s="222"/>
      <c r="M31" s="21"/>
      <c r="N31" s="21"/>
      <c r="O31" s="21"/>
      <c r="P31" s="21">
        <v>924.65309999999999</v>
      </c>
      <c r="Q31" s="21"/>
      <c r="R31" s="21">
        <v>50</v>
      </c>
      <c r="S31" s="21"/>
      <c r="T31" s="219">
        <f t="shared" si="3"/>
        <v>974.65309999999999</v>
      </c>
      <c r="U31" s="96"/>
    </row>
    <row r="32" spans="1:21" ht="31.5" customHeight="1" x14ac:dyDescent="0.25">
      <c r="A32" s="340"/>
      <c r="B32" s="281"/>
      <c r="C32" s="293"/>
      <c r="D32" s="293"/>
      <c r="E32" s="375"/>
      <c r="F32" s="293"/>
      <c r="G32" s="293"/>
      <c r="H32" s="293"/>
      <c r="I32" s="213" t="s">
        <v>27</v>
      </c>
      <c r="J32" s="214">
        <v>255</v>
      </c>
      <c r="K32" s="214" t="s">
        <v>397</v>
      </c>
      <c r="L32" s="222"/>
      <c r="M32" s="21"/>
      <c r="N32" s="21"/>
      <c r="O32" s="21"/>
      <c r="P32" s="21"/>
      <c r="Q32" s="21">
        <v>716.55780000000004</v>
      </c>
      <c r="R32" s="21">
        <v>460.18099999999998</v>
      </c>
      <c r="S32" s="21"/>
      <c r="T32" s="219">
        <f t="shared" si="3"/>
        <v>1176.7388000000001</v>
      </c>
      <c r="U32" s="96"/>
    </row>
    <row r="33" spans="1:24" ht="53.45" customHeight="1" x14ac:dyDescent="0.25">
      <c r="A33" s="340"/>
      <c r="B33" s="216" t="s">
        <v>347</v>
      </c>
      <c r="C33" s="293"/>
      <c r="D33" s="293"/>
      <c r="E33" s="375"/>
      <c r="F33" s="293"/>
      <c r="G33" s="293"/>
      <c r="H33" s="293"/>
      <c r="I33" s="213" t="s">
        <v>27</v>
      </c>
      <c r="J33" s="214">
        <v>268</v>
      </c>
      <c r="K33" s="214" t="s">
        <v>344</v>
      </c>
      <c r="L33" s="222"/>
      <c r="M33" s="21"/>
      <c r="N33" s="21"/>
      <c r="O33" s="21">
        <v>1456.4711</v>
      </c>
      <c r="P33" s="21">
        <v>1440.193</v>
      </c>
      <c r="Q33" s="21"/>
      <c r="R33" s="21">
        <v>1153.009</v>
      </c>
      <c r="S33" s="21"/>
      <c r="T33" s="219">
        <f t="shared" si="3"/>
        <v>4049.6731</v>
      </c>
      <c r="U33" s="96"/>
    </row>
    <row r="34" spans="1:24" ht="60.6" customHeight="1" x14ac:dyDescent="0.25">
      <c r="A34" s="340"/>
      <c r="B34" s="216" t="s">
        <v>348</v>
      </c>
      <c r="C34" s="293"/>
      <c r="D34" s="293"/>
      <c r="E34" s="375"/>
      <c r="F34" s="293"/>
      <c r="G34" s="293"/>
      <c r="H34" s="293"/>
      <c r="I34" s="213" t="s">
        <v>27</v>
      </c>
      <c r="J34" s="214">
        <v>458</v>
      </c>
      <c r="K34" s="214" t="s">
        <v>344</v>
      </c>
      <c r="L34" s="222"/>
      <c r="M34" s="21"/>
      <c r="N34" s="21"/>
      <c r="O34" s="21"/>
      <c r="P34" s="21"/>
      <c r="Q34" s="21"/>
      <c r="R34" s="21">
        <v>1638.8589999999999</v>
      </c>
      <c r="S34" s="21"/>
      <c r="T34" s="219">
        <f t="shared" si="3"/>
        <v>1638.8589999999999</v>
      </c>
      <c r="U34" s="96"/>
    </row>
    <row r="35" spans="1:24" ht="54.6" customHeight="1" x14ac:dyDescent="0.25">
      <c r="A35" s="340"/>
      <c r="B35" s="216" t="s">
        <v>349</v>
      </c>
      <c r="C35" s="293"/>
      <c r="D35" s="293"/>
      <c r="E35" s="375"/>
      <c r="F35" s="293"/>
      <c r="G35" s="293"/>
      <c r="H35" s="293"/>
      <c r="I35" s="213" t="s">
        <v>27</v>
      </c>
      <c r="J35" s="214">
        <v>458</v>
      </c>
      <c r="K35" s="214" t="s">
        <v>332</v>
      </c>
      <c r="L35" s="222"/>
      <c r="M35" s="21"/>
      <c r="N35" s="21"/>
      <c r="O35" s="21"/>
      <c r="P35" s="21"/>
      <c r="Q35" s="21"/>
      <c r="R35" s="21"/>
      <c r="S35" s="21">
        <v>443.66500000000002</v>
      </c>
      <c r="T35" s="219">
        <f t="shared" si="3"/>
        <v>443.66500000000002</v>
      </c>
      <c r="U35" s="96"/>
    </row>
    <row r="36" spans="1:24" ht="76.150000000000006" customHeight="1" x14ac:dyDescent="0.25">
      <c r="A36" s="340"/>
      <c r="B36" s="216" t="s">
        <v>350</v>
      </c>
      <c r="C36" s="293"/>
      <c r="D36" s="293"/>
      <c r="E36" s="375"/>
      <c r="F36" s="293"/>
      <c r="G36" s="293"/>
      <c r="H36" s="293"/>
      <c r="I36" s="213" t="s">
        <v>27</v>
      </c>
      <c r="J36" s="214">
        <v>458</v>
      </c>
      <c r="K36" s="214" t="s">
        <v>344</v>
      </c>
      <c r="L36" s="222"/>
      <c r="M36" s="21"/>
      <c r="N36" s="21"/>
      <c r="O36" s="21"/>
      <c r="P36" s="21"/>
      <c r="Q36" s="21"/>
      <c r="R36" s="21">
        <v>394.19799999999998</v>
      </c>
      <c r="S36" s="21"/>
      <c r="T36" s="219">
        <f t="shared" si="3"/>
        <v>394.19799999999998</v>
      </c>
      <c r="U36" s="96"/>
    </row>
    <row r="37" spans="1:24" ht="36" customHeight="1" x14ac:dyDescent="0.25">
      <c r="A37" s="341"/>
      <c r="B37" s="16" t="s">
        <v>116</v>
      </c>
      <c r="C37" s="152"/>
      <c r="D37" s="16"/>
      <c r="E37" s="16"/>
      <c r="F37" s="16"/>
      <c r="G37" s="16"/>
      <c r="H37" s="16"/>
      <c r="I37" s="16"/>
      <c r="J37" s="16"/>
      <c r="K37" s="16"/>
      <c r="L37" s="18">
        <f>L15+L16+L17+L18+L19+L20+L21+L22+L23+L24+L25+L26+L27+L28+L29+L30+L31+L32+L33+L34+L35+L36</f>
        <v>0</v>
      </c>
      <c r="M37" s="18">
        <f t="shared" ref="M37:T37" si="4">M15+M16+M17+M18+M19+M20+M21+M22+M23+M24+M25+M26+M27+M28+M29+M30+M31+M32+M33+M34+M35+M36</f>
        <v>0</v>
      </c>
      <c r="N37" s="18">
        <f t="shared" si="4"/>
        <v>0</v>
      </c>
      <c r="O37" s="18">
        <f t="shared" si="4"/>
        <v>5355.8711000000003</v>
      </c>
      <c r="P37" s="18">
        <f t="shared" si="4"/>
        <v>3264.8460999999998</v>
      </c>
      <c r="Q37" s="18">
        <f t="shared" si="4"/>
        <v>14334.7366</v>
      </c>
      <c r="R37" s="18">
        <f t="shared" si="4"/>
        <v>16539.813699999999</v>
      </c>
      <c r="S37" s="18">
        <f t="shared" si="4"/>
        <v>2371.989</v>
      </c>
      <c r="T37" s="18">
        <f t="shared" si="4"/>
        <v>41867.256499999996</v>
      </c>
      <c r="U37" s="20"/>
    </row>
    <row r="38" spans="1:24" s="11" customFormat="1" ht="38.25" customHeight="1" x14ac:dyDescent="0.25">
      <c r="A38" s="339">
        <v>3</v>
      </c>
      <c r="B38" s="342" t="s">
        <v>512</v>
      </c>
      <c r="C38" s="274" t="s">
        <v>23</v>
      </c>
      <c r="D38" s="274" t="s">
        <v>24</v>
      </c>
      <c r="E38" s="304" t="s">
        <v>513</v>
      </c>
      <c r="F38" s="283" t="s">
        <v>150</v>
      </c>
      <c r="G38" s="283" t="s">
        <v>152</v>
      </c>
      <c r="H38" s="283" t="s">
        <v>151</v>
      </c>
      <c r="I38" s="245" t="s">
        <v>27</v>
      </c>
      <c r="J38" s="245">
        <v>228</v>
      </c>
      <c r="K38" s="13" t="s">
        <v>148</v>
      </c>
      <c r="L38" s="14"/>
      <c r="M38" s="14"/>
      <c r="N38" s="14"/>
      <c r="O38" s="14"/>
      <c r="P38" s="14">
        <v>33777.5</v>
      </c>
      <c r="Q38" s="14">
        <v>44454.400000000001</v>
      </c>
      <c r="R38" s="14">
        <v>45785.5</v>
      </c>
      <c r="S38" s="14">
        <v>43864.1</v>
      </c>
      <c r="T38" s="15">
        <f>L38+M38+N38+O38+P38+Q38+R38+S38</f>
        <v>167881.5</v>
      </c>
      <c r="U38" s="337"/>
    </row>
    <row r="39" spans="1:24" s="11" customFormat="1" ht="35.25" customHeight="1" x14ac:dyDescent="0.25">
      <c r="A39" s="340"/>
      <c r="B39" s="371"/>
      <c r="C39" s="275"/>
      <c r="D39" s="275"/>
      <c r="E39" s="305"/>
      <c r="F39" s="284"/>
      <c r="G39" s="284"/>
      <c r="H39" s="284"/>
      <c r="I39" s="245" t="s">
        <v>27</v>
      </c>
      <c r="J39" s="245">
        <v>228</v>
      </c>
      <c r="K39" s="13" t="s">
        <v>514</v>
      </c>
      <c r="L39" s="14"/>
      <c r="M39" s="14"/>
      <c r="N39" s="14"/>
      <c r="O39" s="14"/>
      <c r="P39" s="14">
        <v>13706.2</v>
      </c>
      <c r="Q39" s="14">
        <v>13607</v>
      </c>
      <c r="R39" s="14">
        <v>16726.3</v>
      </c>
      <c r="S39" s="14">
        <v>19114.5</v>
      </c>
      <c r="T39" s="15">
        <f t="shared" ref="T39:T43" si="5">L39+M39+N39+O39+P39+Q39+R39+S39</f>
        <v>63154</v>
      </c>
      <c r="U39" s="338"/>
    </row>
    <row r="40" spans="1:24" s="11" customFormat="1" ht="37.5" customHeight="1" x14ac:dyDescent="0.25">
      <c r="A40" s="340"/>
      <c r="B40" s="371"/>
      <c r="C40" s="275"/>
      <c r="D40" s="275"/>
      <c r="E40" s="305"/>
      <c r="F40" s="284"/>
      <c r="G40" s="284"/>
      <c r="H40" s="284"/>
      <c r="I40" s="245" t="s">
        <v>27</v>
      </c>
      <c r="J40" s="245">
        <v>228</v>
      </c>
      <c r="K40" s="13" t="s">
        <v>515</v>
      </c>
      <c r="L40" s="14"/>
      <c r="M40" s="14"/>
      <c r="N40" s="14"/>
      <c r="O40" s="14"/>
      <c r="P40" s="14">
        <v>106.7</v>
      </c>
      <c r="Q40" s="14">
        <v>109.7</v>
      </c>
      <c r="R40" s="14">
        <v>186.7</v>
      </c>
      <c r="S40" s="14">
        <v>212.1</v>
      </c>
      <c r="T40" s="15">
        <f t="shared" si="5"/>
        <v>615.20000000000005</v>
      </c>
      <c r="U40" s="338"/>
    </row>
    <row r="41" spans="1:24" s="11" customFormat="1" ht="37.5" customHeight="1" x14ac:dyDescent="0.25">
      <c r="A41" s="340"/>
      <c r="B41" s="371"/>
      <c r="C41" s="275"/>
      <c r="D41" s="275"/>
      <c r="E41" s="305"/>
      <c r="F41" s="284"/>
      <c r="G41" s="284"/>
      <c r="H41" s="284"/>
      <c r="I41" s="245" t="s">
        <v>27</v>
      </c>
      <c r="J41" s="245">
        <v>228</v>
      </c>
      <c r="K41" s="13" t="s">
        <v>516</v>
      </c>
      <c r="L41" s="14"/>
      <c r="M41" s="14"/>
      <c r="N41" s="14"/>
      <c r="O41" s="14"/>
      <c r="P41" s="14">
        <v>6517.6</v>
      </c>
      <c r="Q41" s="14">
        <v>9413.2999999999993</v>
      </c>
      <c r="R41" s="14">
        <v>11100</v>
      </c>
      <c r="S41" s="14">
        <v>19063.3</v>
      </c>
      <c r="T41" s="15">
        <f t="shared" si="5"/>
        <v>46094.2</v>
      </c>
      <c r="U41" s="338"/>
    </row>
    <row r="42" spans="1:24" s="11" customFormat="1" ht="41.25" customHeight="1" x14ac:dyDescent="0.25">
      <c r="A42" s="340"/>
      <c r="B42" s="371"/>
      <c r="C42" s="275"/>
      <c r="D42" s="275"/>
      <c r="E42" s="305"/>
      <c r="F42" s="284"/>
      <c r="G42" s="284"/>
      <c r="H42" s="284"/>
      <c r="I42" s="245" t="s">
        <v>27</v>
      </c>
      <c r="J42" s="245">
        <v>228</v>
      </c>
      <c r="K42" s="13" t="s">
        <v>517</v>
      </c>
      <c r="L42" s="14"/>
      <c r="M42" s="14"/>
      <c r="N42" s="14"/>
      <c r="O42" s="14"/>
      <c r="P42" s="14">
        <v>6809.1</v>
      </c>
      <c r="Q42" s="14">
        <v>11597</v>
      </c>
      <c r="R42" s="14">
        <v>26052.6</v>
      </c>
      <c r="S42" s="14">
        <v>11736.6</v>
      </c>
      <c r="T42" s="15">
        <f t="shared" si="5"/>
        <v>56195.299999999996</v>
      </c>
      <c r="U42" s="338"/>
    </row>
    <row r="43" spans="1:24" s="11" customFormat="1" ht="39" customHeight="1" x14ac:dyDescent="0.25">
      <c r="A43" s="340"/>
      <c r="B43" s="343"/>
      <c r="C43" s="275"/>
      <c r="D43" s="275"/>
      <c r="E43" s="305"/>
      <c r="F43" s="284"/>
      <c r="G43" s="284"/>
      <c r="H43" s="284"/>
      <c r="I43" s="245" t="s">
        <v>27</v>
      </c>
      <c r="J43" s="245">
        <v>228</v>
      </c>
      <c r="K43" s="13" t="s">
        <v>149</v>
      </c>
      <c r="L43" s="14"/>
      <c r="M43" s="14"/>
      <c r="N43" s="14"/>
      <c r="O43" s="14"/>
      <c r="P43" s="14">
        <v>40000</v>
      </c>
      <c r="Q43" s="14">
        <v>14700</v>
      </c>
      <c r="R43" s="14">
        <v>5300</v>
      </c>
      <c r="S43" s="14"/>
      <c r="T43" s="15">
        <f t="shared" si="5"/>
        <v>60000</v>
      </c>
      <c r="U43" s="338"/>
    </row>
    <row r="44" spans="1:24" s="11" customFormat="1" ht="31.5" customHeight="1" x14ac:dyDescent="0.25">
      <c r="A44" s="341"/>
      <c r="B44" s="16" t="s">
        <v>116</v>
      </c>
      <c r="C44" s="152"/>
      <c r="D44" s="16"/>
      <c r="E44" s="16"/>
      <c r="F44" s="16"/>
      <c r="G44" s="16"/>
      <c r="H44" s="16"/>
      <c r="I44" s="16"/>
      <c r="J44" s="16"/>
      <c r="K44" s="16"/>
      <c r="L44" s="18">
        <f>L38+L39+L40+L41+L42+L43</f>
        <v>0</v>
      </c>
      <c r="M44" s="18">
        <f t="shared" ref="M44:T44" si="6">M38+M39+M40+M41+M42+M43</f>
        <v>0</v>
      </c>
      <c r="N44" s="18">
        <f t="shared" si="6"/>
        <v>0</v>
      </c>
      <c r="O44" s="18">
        <f t="shared" si="6"/>
        <v>0</v>
      </c>
      <c r="P44" s="18">
        <f t="shared" si="6"/>
        <v>100917.09999999999</v>
      </c>
      <c r="Q44" s="18">
        <f t="shared" si="6"/>
        <v>93881.4</v>
      </c>
      <c r="R44" s="18">
        <f t="shared" si="6"/>
        <v>105151.1</v>
      </c>
      <c r="S44" s="18">
        <f t="shared" si="6"/>
        <v>93990.6</v>
      </c>
      <c r="T44" s="18">
        <f t="shared" si="6"/>
        <v>393940.2</v>
      </c>
      <c r="U44" s="189"/>
    </row>
    <row r="45" spans="1:24" s="11" customFormat="1" ht="33" customHeight="1" x14ac:dyDescent="0.25">
      <c r="A45" s="94"/>
      <c r="B45" s="320" t="s">
        <v>120</v>
      </c>
      <c r="C45" s="320"/>
      <c r="D45" s="320"/>
      <c r="E45" s="320"/>
      <c r="F45" s="320"/>
      <c r="G45" s="320"/>
      <c r="H45" s="320"/>
      <c r="I45" s="247"/>
      <c r="J45" s="247"/>
      <c r="K45" s="247"/>
      <c r="L45" s="248">
        <f>L44+L37+L14</f>
        <v>0</v>
      </c>
      <c r="M45" s="248">
        <f t="shared" ref="M45:T45" si="7">M44+M37+M14</f>
        <v>0</v>
      </c>
      <c r="N45" s="248">
        <f t="shared" si="7"/>
        <v>131881.20000000001</v>
      </c>
      <c r="O45" s="248">
        <f t="shared" si="7"/>
        <v>142077.87109999999</v>
      </c>
      <c r="P45" s="248">
        <f t="shared" si="7"/>
        <v>241513.24609999999</v>
      </c>
      <c r="Q45" s="248">
        <f t="shared" si="7"/>
        <v>285516.03659999999</v>
      </c>
      <c r="R45" s="248">
        <f t="shared" si="7"/>
        <v>347946.3137</v>
      </c>
      <c r="S45" s="248">
        <f t="shared" si="7"/>
        <v>96362.589000000007</v>
      </c>
      <c r="T45" s="248">
        <f t="shared" si="7"/>
        <v>1245297.2564999999</v>
      </c>
      <c r="U45" s="249"/>
    </row>
    <row r="46" spans="1:24" s="1" customFormat="1" ht="27" customHeight="1" x14ac:dyDescent="0.25">
      <c r="A46" s="344" t="s">
        <v>117</v>
      </c>
      <c r="B46" s="344"/>
      <c r="C46" s="344"/>
      <c r="D46" s="344"/>
      <c r="E46" s="344"/>
      <c r="F46" s="344"/>
      <c r="G46" s="344"/>
      <c r="H46" s="344"/>
      <c r="I46" s="344"/>
      <c r="J46" s="344"/>
      <c r="K46" s="344"/>
      <c r="L46" s="344"/>
      <c r="M46" s="344"/>
      <c r="N46" s="344"/>
      <c r="O46" s="344"/>
      <c r="P46" s="344"/>
      <c r="Q46" s="344"/>
      <c r="R46" s="344"/>
      <c r="S46" s="344"/>
      <c r="T46" s="344"/>
      <c r="U46" s="344"/>
    </row>
    <row r="47" spans="1:24" ht="33.75" customHeight="1" x14ac:dyDescent="0.25">
      <c r="A47" s="372">
        <v>4</v>
      </c>
      <c r="B47" s="122" t="s">
        <v>176</v>
      </c>
      <c r="C47" s="365" t="s">
        <v>23</v>
      </c>
      <c r="D47" s="365" t="s">
        <v>24</v>
      </c>
      <c r="E47" s="368" t="s">
        <v>446</v>
      </c>
      <c r="F47" s="271" t="s">
        <v>114</v>
      </c>
      <c r="G47" s="271" t="s">
        <v>45</v>
      </c>
      <c r="H47" s="271" t="s">
        <v>38</v>
      </c>
      <c r="I47" s="109"/>
      <c r="J47" s="110"/>
      <c r="K47" s="109"/>
      <c r="L47" s="111"/>
      <c r="M47" s="112"/>
      <c r="N47" s="112"/>
      <c r="O47" s="112"/>
      <c r="P47" s="113"/>
      <c r="Q47" s="113"/>
      <c r="R47" s="113"/>
      <c r="S47" s="113"/>
      <c r="T47" s="114">
        <f>M47+N47+O47+P47+Q47+R47+S47</f>
        <v>0</v>
      </c>
      <c r="U47" s="347" t="s">
        <v>174</v>
      </c>
      <c r="X47" s="1"/>
    </row>
    <row r="48" spans="1:24" ht="75.75" customHeight="1" x14ac:dyDescent="0.25">
      <c r="A48" s="372"/>
      <c r="B48" s="122" t="s">
        <v>177</v>
      </c>
      <c r="C48" s="366"/>
      <c r="D48" s="366"/>
      <c r="E48" s="369"/>
      <c r="F48" s="272"/>
      <c r="G48" s="272"/>
      <c r="H48" s="272"/>
      <c r="I48" s="109"/>
      <c r="J48" s="115"/>
      <c r="K48" s="116"/>
      <c r="L48" s="111"/>
      <c r="M48" s="112"/>
      <c r="N48" s="112"/>
      <c r="O48" s="112"/>
      <c r="P48" s="113"/>
      <c r="Q48" s="113"/>
      <c r="R48" s="113"/>
      <c r="S48" s="113"/>
      <c r="T48" s="114">
        <f t="shared" ref="T48:T68" si="8">M48+N48+O48+P48+Q48+R48+S48</f>
        <v>0</v>
      </c>
      <c r="U48" s="348"/>
      <c r="X48" s="1"/>
    </row>
    <row r="49" spans="1:24" ht="57" customHeight="1" x14ac:dyDescent="0.25">
      <c r="A49" s="372"/>
      <c r="B49" s="108" t="s">
        <v>178</v>
      </c>
      <c r="C49" s="366"/>
      <c r="D49" s="366"/>
      <c r="E49" s="369"/>
      <c r="F49" s="272"/>
      <c r="G49" s="272"/>
      <c r="H49" s="272"/>
      <c r="I49" s="117"/>
      <c r="J49" s="115"/>
      <c r="K49" s="117"/>
      <c r="L49" s="111"/>
      <c r="M49" s="112"/>
      <c r="N49" s="112"/>
      <c r="O49" s="112"/>
      <c r="P49" s="117"/>
      <c r="Q49" s="117"/>
      <c r="R49" s="117"/>
      <c r="S49" s="117"/>
      <c r="T49" s="114">
        <f t="shared" si="8"/>
        <v>0</v>
      </c>
      <c r="U49" s="348"/>
      <c r="X49" s="1"/>
    </row>
    <row r="50" spans="1:24" ht="30" customHeight="1" x14ac:dyDescent="0.25">
      <c r="A50" s="372"/>
      <c r="B50" s="342" t="s">
        <v>179</v>
      </c>
      <c r="C50" s="366"/>
      <c r="D50" s="366"/>
      <c r="E50" s="369"/>
      <c r="F50" s="272"/>
      <c r="G50" s="272"/>
      <c r="H50" s="272"/>
      <c r="I50" s="109" t="s">
        <v>27</v>
      </c>
      <c r="J50" s="115"/>
      <c r="K50" s="109" t="s">
        <v>173</v>
      </c>
      <c r="L50" s="111"/>
      <c r="M50" s="112"/>
      <c r="N50" s="112"/>
      <c r="O50" s="112"/>
      <c r="P50" s="118">
        <v>9867.6409999999996</v>
      </c>
      <c r="Q50" s="118">
        <v>6244.7719999999999</v>
      </c>
      <c r="R50" s="118">
        <v>21122.323</v>
      </c>
      <c r="S50" s="118"/>
      <c r="T50" s="114">
        <f t="shared" si="8"/>
        <v>37234.736000000004</v>
      </c>
      <c r="U50" s="348"/>
      <c r="X50" s="1"/>
    </row>
    <row r="51" spans="1:24" ht="28.5" customHeight="1" x14ac:dyDescent="0.25">
      <c r="A51" s="372"/>
      <c r="B51" s="371"/>
      <c r="C51" s="366"/>
      <c r="D51" s="366"/>
      <c r="E51" s="369"/>
      <c r="F51" s="272"/>
      <c r="G51" s="272"/>
      <c r="H51" s="272"/>
      <c r="I51" s="109" t="s">
        <v>27</v>
      </c>
      <c r="J51" s="115"/>
      <c r="K51" s="109" t="s">
        <v>166</v>
      </c>
      <c r="L51" s="111"/>
      <c r="M51" s="112"/>
      <c r="N51" s="112"/>
      <c r="O51" s="112"/>
      <c r="P51" s="119"/>
      <c r="Q51" s="118">
        <v>6789.634</v>
      </c>
      <c r="R51" s="119"/>
      <c r="S51" s="119"/>
      <c r="T51" s="114">
        <f t="shared" si="8"/>
        <v>6789.634</v>
      </c>
      <c r="U51" s="348"/>
      <c r="X51" s="1"/>
    </row>
    <row r="52" spans="1:24" ht="26.25" customHeight="1" x14ac:dyDescent="0.25">
      <c r="A52" s="372"/>
      <c r="B52" s="343"/>
      <c r="C52" s="366"/>
      <c r="D52" s="366"/>
      <c r="E52" s="369"/>
      <c r="F52" s="272"/>
      <c r="G52" s="272"/>
      <c r="H52" s="272"/>
      <c r="I52" s="109" t="s">
        <v>27</v>
      </c>
      <c r="J52" s="115"/>
      <c r="K52" s="109" t="s">
        <v>167</v>
      </c>
      <c r="L52" s="111"/>
      <c r="M52" s="112"/>
      <c r="N52" s="112"/>
      <c r="O52" s="112"/>
      <c r="P52" s="119"/>
      <c r="Q52" s="118">
        <v>199.86199999999999</v>
      </c>
      <c r="R52" s="119"/>
      <c r="S52" s="119"/>
      <c r="T52" s="114">
        <f t="shared" si="8"/>
        <v>199.86199999999999</v>
      </c>
      <c r="U52" s="348"/>
      <c r="X52" s="1"/>
    </row>
    <row r="53" spans="1:24" ht="36" customHeight="1" x14ac:dyDescent="0.25">
      <c r="A53" s="372"/>
      <c r="B53" s="108" t="s">
        <v>180</v>
      </c>
      <c r="C53" s="366"/>
      <c r="D53" s="366"/>
      <c r="E53" s="369"/>
      <c r="F53" s="272"/>
      <c r="G53" s="272"/>
      <c r="H53" s="272"/>
      <c r="I53" s="109" t="s">
        <v>39</v>
      </c>
      <c r="J53" s="115"/>
      <c r="K53" s="137"/>
      <c r="L53" s="111"/>
      <c r="M53" s="112"/>
      <c r="N53" s="112"/>
      <c r="O53" s="112"/>
      <c r="P53" s="113"/>
      <c r="Q53" s="113">
        <v>111746.186</v>
      </c>
      <c r="R53" s="113"/>
      <c r="S53" s="113"/>
      <c r="T53" s="114">
        <f t="shared" si="8"/>
        <v>111746.186</v>
      </c>
      <c r="U53" s="348"/>
      <c r="X53" s="1"/>
    </row>
    <row r="54" spans="1:24" ht="36" customHeight="1" x14ac:dyDescent="0.25">
      <c r="A54" s="372"/>
      <c r="B54" s="108" t="s">
        <v>181</v>
      </c>
      <c r="C54" s="366"/>
      <c r="D54" s="366"/>
      <c r="E54" s="369"/>
      <c r="F54" s="272"/>
      <c r="G54" s="272"/>
      <c r="H54" s="272"/>
      <c r="I54" s="109" t="s">
        <v>39</v>
      </c>
      <c r="J54" s="115"/>
      <c r="K54" s="120"/>
      <c r="L54" s="111"/>
      <c r="M54" s="112"/>
      <c r="N54" s="112"/>
      <c r="O54" s="112"/>
      <c r="P54" s="113"/>
      <c r="Q54" s="113">
        <v>39603.9</v>
      </c>
      <c r="R54" s="113"/>
      <c r="S54" s="113"/>
      <c r="T54" s="114">
        <f t="shared" si="8"/>
        <v>39603.9</v>
      </c>
      <c r="U54" s="348"/>
      <c r="X54" s="1"/>
    </row>
    <row r="55" spans="1:24" ht="100.5" customHeight="1" x14ac:dyDescent="0.25">
      <c r="A55" s="372"/>
      <c r="B55" s="108" t="s">
        <v>182</v>
      </c>
      <c r="C55" s="366"/>
      <c r="D55" s="366"/>
      <c r="E55" s="369"/>
      <c r="F55" s="272"/>
      <c r="G55" s="272"/>
      <c r="H55" s="272"/>
      <c r="I55" s="117"/>
      <c r="J55" s="115"/>
      <c r="K55" s="117"/>
      <c r="L55" s="111"/>
      <c r="M55" s="112"/>
      <c r="N55" s="112"/>
      <c r="O55" s="112"/>
      <c r="P55" s="117"/>
      <c r="Q55" s="117"/>
      <c r="R55" s="117"/>
      <c r="S55" s="117"/>
      <c r="T55" s="114">
        <f t="shared" si="8"/>
        <v>0</v>
      </c>
      <c r="U55" s="348"/>
      <c r="X55" s="1"/>
    </row>
    <row r="56" spans="1:24" ht="54.75" customHeight="1" x14ac:dyDescent="0.25">
      <c r="A56" s="372"/>
      <c r="B56" s="108" t="s">
        <v>183</v>
      </c>
      <c r="C56" s="366"/>
      <c r="D56" s="366"/>
      <c r="E56" s="369"/>
      <c r="F56" s="272"/>
      <c r="G56" s="272"/>
      <c r="H56" s="272"/>
      <c r="I56" s="117"/>
      <c r="J56" s="115"/>
      <c r="K56" s="117"/>
      <c r="L56" s="111"/>
      <c r="M56" s="112"/>
      <c r="N56" s="112"/>
      <c r="O56" s="112"/>
      <c r="P56" s="117"/>
      <c r="Q56" s="117"/>
      <c r="R56" s="117"/>
      <c r="S56" s="117"/>
      <c r="T56" s="114">
        <f t="shared" si="8"/>
        <v>0</v>
      </c>
      <c r="U56" s="348"/>
      <c r="X56" s="1"/>
    </row>
    <row r="57" spans="1:24" ht="52.15" customHeight="1" x14ac:dyDescent="0.25">
      <c r="A57" s="372"/>
      <c r="B57" s="108" t="s">
        <v>184</v>
      </c>
      <c r="C57" s="366"/>
      <c r="D57" s="366"/>
      <c r="E57" s="369"/>
      <c r="F57" s="272"/>
      <c r="G57" s="272"/>
      <c r="H57" s="272"/>
      <c r="I57" s="109" t="s">
        <v>27</v>
      </c>
      <c r="J57" s="115"/>
      <c r="K57" s="109" t="s">
        <v>164</v>
      </c>
      <c r="L57" s="111"/>
      <c r="M57" s="112"/>
      <c r="N57" s="112"/>
      <c r="O57" s="112"/>
      <c r="P57" s="113"/>
      <c r="Q57" s="113">
        <v>100</v>
      </c>
      <c r="R57" s="113">
        <v>1911.6690000000001</v>
      </c>
      <c r="S57" s="113"/>
      <c r="T57" s="114">
        <f t="shared" si="8"/>
        <v>2011.6690000000001</v>
      </c>
      <c r="U57" s="348"/>
      <c r="X57" s="1"/>
    </row>
    <row r="58" spans="1:24" ht="33" customHeight="1" x14ac:dyDescent="0.25">
      <c r="A58" s="372"/>
      <c r="B58" s="342" t="s">
        <v>185</v>
      </c>
      <c r="C58" s="366"/>
      <c r="D58" s="366"/>
      <c r="E58" s="369"/>
      <c r="F58" s="272"/>
      <c r="G58" s="272"/>
      <c r="H58" s="272"/>
      <c r="I58" s="109" t="s">
        <v>27</v>
      </c>
      <c r="J58" s="115"/>
      <c r="K58" s="109" t="s">
        <v>165</v>
      </c>
      <c r="L58" s="111"/>
      <c r="M58" s="112"/>
      <c r="N58" s="112"/>
      <c r="O58" s="112"/>
      <c r="P58" s="113">
        <v>516.41800000000001</v>
      </c>
      <c r="Q58" s="113">
        <v>37.94</v>
      </c>
      <c r="R58" s="113"/>
      <c r="S58" s="113"/>
      <c r="T58" s="114">
        <f t="shared" si="8"/>
        <v>554.35799999999995</v>
      </c>
      <c r="U58" s="348"/>
      <c r="X58" s="1"/>
    </row>
    <row r="59" spans="1:24" ht="31.5" customHeight="1" x14ac:dyDescent="0.25">
      <c r="A59" s="372"/>
      <c r="B59" s="343"/>
      <c r="C59" s="366"/>
      <c r="D59" s="366"/>
      <c r="E59" s="369"/>
      <c r="F59" s="272"/>
      <c r="G59" s="272"/>
      <c r="H59" s="272"/>
      <c r="I59" s="109" t="s">
        <v>39</v>
      </c>
      <c r="J59" s="115"/>
      <c r="K59" s="120"/>
      <c r="L59" s="111"/>
      <c r="M59" s="112"/>
      <c r="N59" s="112"/>
      <c r="O59" s="112"/>
      <c r="P59" s="113"/>
      <c r="Q59" s="113">
        <v>17634.881000000001</v>
      </c>
      <c r="R59" s="113"/>
      <c r="S59" s="113"/>
      <c r="T59" s="114">
        <f t="shared" si="8"/>
        <v>17634.881000000001</v>
      </c>
      <c r="U59" s="348"/>
      <c r="X59" s="1"/>
    </row>
    <row r="60" spans="1:24" ht="85.5" customHeight="1" x14ac:dyDescent="0.25">
      <c r="A60" s="372"/>
      <c r="B60" s="108" t="s">
        <v>186</v>
      </c>
      <c r="C60" s="366"/>
      <c r="D60" s="366"/>
      <c r="E60" s="369"/>
      <c r="F60" s="272"/>
      <c r="G60" s="272"/>
      <c r="H60" s="272"/>
      <c r="I60" s="117"/>
      <c r="J60" s="115"/>
      <c r="K60" s="117"/>
      <c r="L60" s="111"/>
      <c r="M60" s="112"/>
      <c r="N60" s="112"/>
      <c r="O60" s="112"/>
      <c r="P60" s="117"/>
      <c r="Q60" s="117"/>
      <c r="R60" s="117"/>
      <c r="S60" s="117"/>
      <c r="T60" s="114">
        <f t="shared" si="8"/>
        <v>0</v>
      </c>
      <c r="U60" s="348"/>
      <c r="X60" s="1"/>
    </row>
    <row r="61" spans="1:24" ht="57" customHeight="1" x14ac:dyDescent="0.25">
      <c r="A61" s="372"/>
      <c r="B61" s="108" t="s">
        <v>187</v>
      </c>
      <c r="C61" s="366"/>
      <c r="D61" s="366"/>
      <c r="E61" s="369"/>
      <c r="F61" s="272"/>
      <c r="G61" s="272"/>
      <c r="H61" s="272"/>
      <c r="I61" s="117"/>
      <c r="J61" s="115"/>
      <c r="K61" s="117"/>
      <c r="L61" s="111"/>
      <c r="M61" s="112"/>
      <c r="N61" s="112"/>
      <c r="O61" s="112"/>
      <c r="P61" s="117"/>
      <c r="Q61" s="117"/>
      <c r="R61" s="117"/>
      <c r="S61" s="117"/>
      <c r="T61" s="114">
        <f t="shared" si="8"/>
        <v>0</v>
      </c>
      <c r="U61" s="348"/>
      <c r="X61" s="1"/>
    </row>
    <row r="62" spans="1:24" ht="31.5" customHeight="1" x14ac:dyDescent="0.25">
      <c r="A62" s="372"/>
      <c r="B62" s="342" t="s">
        <v>188</v>
      </c>
      <c r="C62" s="366"/>
      <c r="D62" s="366"/>
      <c r="E62" s="369"/>
      <c r="F62" s="272"/>
      <c r="G62" s="272"/>
      <c r="H62" s="272"/>
      <c r="I62" s="109" t="s">
        <v>27</v>
      </c>
      <c r="J62" s="115"/>
      <c r="K62" s="109" t="s">
        <v>168</v>
      </c>
      <c r="L62" s="111"/>
      <c r="M62" s="112"/>
      <c r="N62" s="112"/>
      <c r="O62" s="112"/>
      <c r="P62" s="113"/>
      <c r="Q62" s="113">
        <v>3236.9369999999999</v>
      </c>
      <c r="R62" s="113">
        <v>8472.3940000000002</v>
      </c>
      <c r="S62" s="113"/>
      <c r="T62" s="114">
        <f t="shared" si="8"/>
        <v>11709.331</v>
      </c>
      <c r="U62" s="348"/>
      <c r="X62" s="1"/>
    </row>
    <row r="63" spans="1:24" ht="30.75" customHeight="1" x14ac:dyDescent="0.25">
      <c r="A63" s="372"/>
      <c r="B63" s="343"/>
      <c r="C63" s="366"/>
      <c r="D63" s="366"/>
      <c r="E63" s="369"/>
      <c r="F63" s="272"/>
      <c r="G63" s="272"/>
      <c r="H63" s="272"/>
      <c r="I63" s="109" t="s">
        <v>27</v>
      </c>
      <c r="J63" s="115"/>
      <c r="K63" s="109" t="s">
        <v>169</v>
      </c>
      <c r="L63" s="111"/>
      <c r="M63" s="112"/>
      <c r="N63" s="112"/>
      <c r="O63" s="112"/>
      <c r="P63" s="113"/>
      <c r="Q63" s="113">
        <v>5000</v>
      </c>
      <c r="R63" s="113"/>
      <c r="S63" s="113"/>
      <c r="T63" s="114">
        <f t="shared" si="8"/>
        <v>5000</v>
      </c>
      <c r="U63" s="348"/>
      <c r="X63" s="1"/>
    </row>
    <row r="64" spans="1:24" ht="42" customHeight="1" x14ac:dyDescent="0.25">
      <c r="A64" s="372"/>
      <c r="B64" s="108" t="s">
        <v>189</v>
      </c>
      <c r="C64" s="366"/>
      <c r="D64" s="366"/>
      <c r="E64" s="369"/>
      <c r="F64" s="272"/>
      <c r="G64" s="272"/>
      <c r="H64" s="272"/>
      <c r="I64" s="109" t="s">
        <v>39</v>
      </c>
      <c r="J64" s="115"/>
      <c r="K64" s="120"/>
      <c r="L64" s="111"/>
      <c r="M64" s="112"/>
      <c r="N64" s="112"/>
      <c r="O64" s="112"/>
      <c r="P64" s="113"/>
      <c r="Q64" s="113">
        <v>923.08199999999999</v>
      </c>
      <c r="R64" s="113"/>
      <c r="S64" s="113"/>
      <c r="T64" s="114">
        <f t="shared" si="8"/>
        <v>923.08199999999999</v>
      </c>
      <c r="U64" s="348"/>
      <c r="X64" s="1"/>
    </row>
    <row r="65" spans="1:28" ht="42" customHeight="1" x14ac:dyDescent="0.25">
      <c r="A65" s="372"/>
      <c r="B65" s="108" t="s">
        <v>190</v>
      </c>
      <c r="C65" s="366"/>
      <c r="D65" s="366"/>
      <c r="E65" s="369"/>
      <c r="F65" s="272"/>
      <c r="G65" s="272"/>
      <c r="H65" s="272"/>
      <c r="I65" s="109" t="s">
        <v>27</v>
      </c>
      <c r="J65" s="115"/>
      <c r="K65" s="109" t="s">
        <v>170</v>
      </c>
      <c r="L65" s="111"/>
      <c r="M65" s="112"/>
      <c r="N65" s="112"/>
      <c r="O65" s="112"/>
      <c r="P65" s="113">
        <v>2747.7089999999998</v>
      </c>
      <c r="R65" s="113">
        <v>1442.1882000000001</v>
      </c>
      <c r="S65" s="113"/>
      <c r="T65" s="114">
        <f t="shared" si="8"/>
        <v>4189.8971999999994</v>
      </c>
      <c r="U65" s="348"/>
      <c r="X65" s="1"/>
    </row>
    <row r="66" spans="1:28" ht="34.5" customHeight="1" x14ac:dyDescent="0.25">
      <c r="A66" s="372"/>
      <c r="B66" s="342" t="s">
        <v>191</v>
      </c>
      <c r="C66" s="366"/>
      <c r="D66" s="366"/>
      <c r="E66" s="369"/>
      <c r="F66" s="272"/>
      <c r="G66" s="272"/>
      <c r="H66" s="272"/>
      <c r="I66" s="109" t="s">
        <v>27</v>
      </c>
      <c r="J66" s="115"/>
      <c r="K66" s="109" t="s">
        <v>171</v>
      </c>
      <c r="L66" s="111"/>
      <c r="M66" s="112"/>
      <c r="N66" s="112"/>
      <c r="O66" s="112"/>
      <c r="P66" s="113">
        <v>3655.1439999999998</v>
      </c>
      <c r="Q66" s="113"/>
      <c r="R66" s="113"/>
      <c r="S66" s="113"/>
      <c r="T66" s="114">
        <f t="shared" si="8"/>
        <v>3655.1439999999998</v>
      </c>
      <c r="U66" s="348"/>
      <c r="X66" s="1"/>
    </row>
    <row r="67" spans="1:28" ht="36.75" customHeight="1" x14ac:dyDescent="0.25">
      <c r="A67" s="372"/>
      <c r="B67" s="343"/>
      <c r="C67" s="366"/>
      <c r="D67" s="366"/>
      <c r="E67" s="369"/>
      <c r="F67" s="272"/>
      <c r="G67" s="272"/>
      <c r="H67" s="272"/>
      <c r="I67" s="109" t="s">
        <v>175</v>
      </c>
      <c r="J67" s="115"/>
      <c r="K67" s="109" t="s">
        <v>172</v>
      </c>
      <c r="L67" s="111"/>
      <c r="M67" s="112"/>
      <c r="N67" s="112"/>
      <c r="O67" s="112"/>
      <c r="P67" s="113"/>
      <c r="Q67" s="113">
        <v>3714.9549999999999</v>
      </c>
      <c r="R67" s="113"/>
      <c r="S67" s="113"/>
      <c r="T67" s="114">
        <f t="shared" si="8"/>
        <v>3714.9549999999999</v>
      </c>
      <c r="U67" s="348"/>
      <c r="X67" s="1"/>
    </row>
    <row r="68" spans="1:28" ht="42" customHeight="1" x14ac:dyDescent="0.25">
      <c r="A68" s="372"/>
      <c r="B68" s="108" t="s">
        <v>192</v>
      </c>
      <c r="C68" s="367"/>
      <c r="D68" s="367"/>
      <c r="E68" s="370"/>
      <c r="F68" s="273"/>
      <c r="G68" s="273"/>
      <c r="H68" s="273"/>
      <c r="I68" s="109" t="s">
        <v>39</v>
      </c>
      <c r="J68" s="115"/>
      <c r="K68" s="120"/>
      <c r="L68" s="111"/>
      <c r="M68" s="112"/>
      <c r="N68" s="112"/>
      <c r="O68" s="112"/>
      <c r="P68" s="113"/>
      <c r="Q68" s="113">
        <v>7159.759</v>
      </c>
      <c r="R68" s="113"/>
      <c r="S68" s="113"/>
      <c r="T68" s="114">
        <f t="shared" si="8"/>
        <v>7159.759</v>
      </c>
      <c r="U68" s="349"/>
      <c r="X68" s="1"/>
    </row>
    <row r="69" spans="1:28" ht="36" customHeight="1" x14ac:dyDescent="0.25">
      <c r="A69" s="372"/>
      <c r="B69" s="140" t="s">
        <v>116</v>
      </c>
      <c r="C69" s="152"/>
      <c r="D69" s="16"/>
      <c r="E69" s="17"/>
      <c r="F69" s="16"/>
      <c r="G69" s="16"/>
      <c r="H69" s="16"/>
      <c r="I69" s="16"/>
      <c r="J69" s="16"/>
      <c r="K69" s="16"/>
      <c r="L69" s="18">
        <f t="shared" ref="L69" si="9">SUM(L47:L68)</f>
        <v>0</v>
      </c>
      <c r="M69" s="18">
        <f>M47+M48+M49+M50+M51+M52+M53+M54+M55+M56+M57+M58+M59+M60+M61+M62+M63+M64+M65+M66+M67+M68</f>
        <v>0</v>
      </c>
      <c r="N69" s="18">
        <f t="shared" ref="N69:T69" si="10">N47+N48+N49+N50+N51+N52+N53+N54+N55+N56+N57+N58+N59+N60+N61+N62+N63+N64+N65+N66+N67+N68</f>
        <v>0</v>
      </c>
      <c r="O69" s="18">
        <f t="shared" si="10"/>
        <v>0</v>
      </c>
      <c r="P69" s="18">
        <f t="shared" si="10"/>
        <v>16786.912</v>
      </c>
      <c r="Q69" s="18">
        <f t="shared" si="10"/>
        <v>202391.90799999997</v>
      </c>
      <c r="R69" s="18">
        <f t="shared" si="10"/>
        <v>32948.574200000003</v>
      </c>
      <c r="S69" s="18">
        <f t="shared" si="10"/>
        <v>0</v>
      </c>
      <c r="T69" s="18">
        <f t="shared" si="10"/>
        <v>252127.39419999998</v>
      </c>
      <c r="U69" s="20"/>
      <c r="V69" s="76"/>
    </row>
    <row r="70" spans="1:28" ht="164.25" customHeight="1" x14ac:dyDescent="0.25">
      <c r="A70" s="360">
        <v>5</v>
      </c>
      <c r="B70" s="27" t="s">
        <v>451</v>
      </c>
      <c r="C70" s="151" t="s">
        <v>44</v>
      </c>
      <c r="D70" s="147" t="s">
        <v>24</v>
      </c>
      <c r="E70" s="107" t="s">
        <v>268</v>
      </c>
      <c r="F70" s="148" t="s">
        <v>29</v>
      </c>
      <c r="G70" s="148" t="s">
        <v>269</v>
      </c>
      <c r="H70" s="148" t="s">
        <v>30</v>
      </c>
      <c r="I70" s="147" t="s">
        <v>39</v>
      </c>
      <c r="J70" s="13"/>
      <c r="K70" s="13"/>
      <c r="L70" s="14"/>
      <c r="M70" s="14"/>
      <c r="N70" s="34"/>
      <c r="O70" s="149"/>
      <c r="P70" s="149"/>
      <c r="Q70" s="149"/>
      <c r="R70" s="149">
        <v>370588.4</v>
      </c>
      <c r="S70" s="149"/>
      <c r="T70" s="150">
        <f t="shared" ref="T70" si="11">SUM(O70:R70)</f>
        <v>370588.4</v>
      </c>
      <c r="U70" s="146"/>
      <c r="V70" s="11"/>
      <c r="W70" s="11"/>
      <c r="X70" s="11"/>
      <c r="Y70" s="11"/>
      <c r="Z70" s="11"/>
      <c r="AA70" s="11"/>
      <c r="AB70" s="11"/>
    </row>
    <row r="71" spans="1:28" ht="36.6" customHeight="1" x14ac:dyDescent="0.25">
      <c r="A71" s="361"/>
      <c r="B71" s="136" t="s">
        <v>116</v>
      </c>
      <c r="C71" s="142"/>
      <c r="D71" s="35"/>
      <c r="E71" s="35"/>
      <c r="F71" s="35"/>
      <c r="G71" s="35"/>
      <c r="H71" s="35"/>
      <c r="I71" s="35"/>
      <c r="J71" s="35"/>
      <c r="K71" s="35"/>
      <c r="L71" s="142">
        <f t="shared" ref="L71" si="12">SUM(L70:L70)</f>
        <v>0</v>
      </c>
      <c r="M71" s="142">
        <f>M70</f>
        <v>0</v>
      </c>
      <c r="N71" s="142">
        <f t="shared" ref="N71:T71" si="13">N70</f>
        <v>0</v>
      </c>
      <c r="O71" s="142">
        <f t="shared" si="13"/>
        <v>0</v>
      </c>
      <c r="P71" s="142">
        <f t="shared" si="13"/>
        <v>0</v>
      </c>
      <c r="Q71" s="142">
        <f t="shared" si="13"/>
        <v>0</v>
      </c>
      <c r="R71" s="142">
        <f t="shared" si="13"/>
        <v>370588.4</v>
      </c>
      <c r="S71" s="142">
        <f t="shared" si="13"/>
        <v>0</v>
      </c>
      <c r="T71" s="142">
        <f t="shared" si="13"/>
        <v>370588.4</v>
      </c>
      <c r="U71" s="36"/>
    </row>
    <row r="72" spans="1:28" ht="28.9" customHeight="1" x14ac:dyDescent="0.25">
      <c r="A72" s="292">
        <v>6</v>
      </c>
      <c r="B72" s="278" t="s">
        <v>43</v>
      </c>
      <c r="C72" s="292" t="s">
        <v>44</v>
      </c>
      <c r="D72" s="292" t="s">
        <v>24</v>
      </c>
      <c r="E72" s="314" t="s">
        <v>496</v>
      </c>
      <c r="F72" s="295" t="s">
        <v>64</v>
      </c>
      <c r="G72" s="295" t="s">
        <v>497</v>
      </c>
      <c r="H72" s="295" t="s">
        <v>305</v>
      </c>
      <c r="I72" s="236" t="s">
        <v>27</v>
      </c>
      <c r="J72" s="312">
        <v>202</v>
      </c>
      <c r="K72" s="238" t="s">
        <v>236</v>
      </c>
      <c r="L72" s="171"/>
      <c r="M72" s="30"/>
      <c r="N72" s="30"/>
      <c r="O72" s="30"/>
      <c r="P72" s="171">
        <v>1688.9</v>
      </c>
      <c r="Q72" s="171">
        <v>2053.4</v>
      </c>
      <c r="R72" s="171">
        <v>2311.6</v>
      </c>
      <c r="S72" s="171">
        <v>1463.2</v>
      </c>
      <c r="T72" s="170">
        <f>L72+M72+N72++O72++P72+Q72+R72+S72</f>
        <v>7517.0999999999995</v>
      </c>
      <c r="U72" s="329" t="s">
        <v>495</v>
      </c>
    </row>
    <row r="73" spans="1:28" ht="23.25" x14ac:dyDescent="0.25">
      <c r="A73" s="293"/>
      <c r="B73" s="278"/>
      <c r="C73" s="293"/>
      <c r="D73" s="293"/>
      <c r="E73" s="315"/>
      <c r="F73" s="296"/>
      <c r="G73" s="296"/>
      <c r="H73" s="296"/>
      <c r="I73" s="236" t="s">
        <v>27</v>
      </c>
      <c r="J73" s="319"/>
      <c r="K73" s="31" t="s">
        <v>237</v>
      </c>
      <c r="L73" s="171"/>
      <c r="M73" s="30"/>
      <c r="N73" s="30"/>
      <c r="O73" s="30"/>
      <c r="P73" s="171">
        <v>27804</v>
      </c>
      <c r="Q73" s="171">
        <v>0</v>
      </c>
      <c r="R73" s="171">
        <v>0</v>
      </c>
      <c r="S73" s="171"/>
      <c r="T73" s="170">
        <f t="shared" ref="T73:T92" si="14">L73+M73+N73++O73++P73+Q73+R73+S73</f>
        <v>27804</v>
      </c>
      <c r="U73" s="330"/>
    </row>
    <row r="74" spans="1:28" ht="23.25" x14ac:dyDescent="0.25">
      <c r="A74" s="293"/>
      <c r="B74" s="278"/>
      <c r="C74" s="293"/>
      <c r="D74" s="293"/>
      <c r="E74" s="315"/>
      <c r="F74" s="296"/>
      <c r="G74" s="296"/>
      <c r="H74" s="296"/>
      <c r="I74" s="236" t="s">
        <v>27</v>
      </c>
      <c r="J74" s="319"/>
      <c r="K74" s="31" t="s">
        <v>238</v>
      </c>
      <c r="L74" s="171"/>
      <c r="M74" s="30"/>
      <c r="N74" s="30"/>
      <c r="O74" s="30"/>
      <c r="P74" s="171">
        <v>0</v>
      </c>
      <c r="Q74" s="171">
        <v>21455.5</v>
      </c>
      <c r="R74" s="171">
        <v>12551.2</v>
      </c>
      <c r="S74" s="171">
        <v>334.1</v>
      </c>
      <c r="T74" s="170">
        <f t="shared" si="14"/>
        <v>34340.799999999996</v>
      </c>
      <c r="U74" s="330"/>
    </row>
    <row r="75" spans="1:28" ht="23.25" x14ac:dyDescent="0.25">
      <c r="A75" s="293"/>
      <c r="B75" s="278"/>
      <c r="C75" s="293"/>
      <c r="D75" s="293"/>
      <c r="E75" s="315"/>
      <c r="F75" s="296"/>
      <c r="G75" s="296"/>
      <c r="H75" s="296"/>
      <c r="I75" s="236" t="s">
        <v>27</v>
      </c>
      <c r="J75" s="319"/>
      <c r="K75" s="238" t="s">
        <v>239</v>
      </c>
      <c r="L75" s="171"/>
      <c r="M75" s="30"/>
      <c r="N75" s="30"/>
      <c r="O75" s="30"/>
      <c r="P75" s="171">
        <v>0</v>
      </c>
      <c r="Q75" s="171">
        <v>0</v>
      </c>
      <c r="R75" s="171">
        <v>780.1</v>
      </c>
      <c r="S75" s="171">
        <v>390</v>
      </c>
      <c r="T75" s="170">
        <f t="shared" si="14"/>
        <v>1170.0999999999999</v>
      </c>
      <c r="U75" s="330"/>
    </row>
    <row r="76" spans="1:28" ht="23.25" x14ac:dyDescent="0.25">
      <c r="A76" s="293"/>
      <c r="B76" s="279" t="s">
        <v>452</v>
      </c>
      <c r="C76" s="293"/>
      <c r="D76" s="293"/>
      <c r="E76" s="315"/>
      <c r="F76" s="296"/>
      <c r="G76" s="296"/>
      <c r="H76" s="296"/>
      <c r="I76" s="236" t="s">
        <v>27</v>
      </c>
      <c r="J76" s="319"/>
      <c r="K76" s="238" t="s">
        <v>447</v>
      </c>
      <c r="L76" s="171"/>
      <c r="M76" s="30"/>
      <c r="N76" s="30"/>
      <c r="O76" s="30"/>
      <c r="P76" s="171">
        <v>2204.1999999999998</v>
      </c>
      <c r="Q76" s="171">
        <v>7303.2</v>
      </c>
      <c r="R76" s="171">
        <v>5362.5</v>
      </c>
      <c r="S76" s="171">
        <v>4432.7</v>
      </c>
      <c r="T76" s="170">
        <f t="shared" si="14"/>
        <v>19302.599999999999</v>
      </c>
      <c r="U76" s="330"/>
    </row>
    <row r="77" spans="1:28" ht="23.25" x14ac:dyDescent="0.25">
      <c r="A77" s="293"/>
      <c r="B77" s="280"/>
      <c r="C77" s="293"/>
      <c r="D77" s="293"/>
      <c r="E77" s="315"/>
      <c r="F77" s="296"/>
      <c r="G77" s="296"/>
      <c r="H77" s="296"/>
      <c r="I77" s="236" t="s">
        <v>27</v>
      </c>
      <c r="J77" s="319"/>
      <c r="K77" s="238" t="s">
        <v>238</v>
      </c>
      <c r="L77" s="171"/>
      <c r="M77" s="30"/>
      <c r="N77" s="30"/>
      <c r="O77" s="30"/>
      <c r="P77" s="171"/>
      <c r="Q77" s="171"/>
      <c r="R77" s="171">
        <v>853.8</v>
      </c>
      <c r="S77" s="171"/>
      <c r="T77" s="170">
        <f t="shared" si="14"/>
        <v>853.8</v>
      </c>
      <c r="U77" s="330"/>
    </row>
    <row r="78" spans="1:28" ht="23.25" x14ac:dyDescent="0.25">
      <c r="A78" s="293"/>
      <c r="B78" s="281"/>
      <c r="C78" s="293"/>
      <c r="D78" s="293"/>
      <c r="E78" s="315"/>
      <c r="F78" s="296"/>
      <c r="G78" s="296"/>
      <c r="H78" s="296"/>
      <c r="I78" s="236" t="s">
        <v>39</v>
      </c>
      <c r="J78" s="319"/>
      <c r="K78" s="238"/>
      <c r="L78" s="171"/>
      <c r="M78" s="30"/>
      <c r="N78" s="30"/>
      <c r="O78" s="30"/>
      <c r="P78" s="171"/>
      <c r="Q78" s="171"/>
      <c r="R78" s="171"/>
      <c r="S78" s="171">
        <v>20821.099999999999</v>
      </c>
      <c r="T78" s="170">
        <f t="shared" si="14"/>
        <v>20821.099999999999</v>
      </c>
      <c r="U78" s="330"/>
    </row>
    <row r="79" spans="1:28" ht="70.900000000000006" customHeight="1" x14ac:dyDescent="0.25">
      <c r="A79" s="293"/>
      <c r="B79" s="237" t="s">
        <v>448</v>
      </c>
      <c r="C79" s="293"/>
      <c r="D79" s="293"/>
      <c r="E79" s="315"/>
      <c r="F79" s="296"/>
      <c r="G79" s="296"/>
      <c r="H79" s="296"/>
      <c r="I79" s="236"/>
      <c r="J79" s="319"/>
      <c r="K79" s="238"/>
      <c r="L79" s="171"/>
      <c r="M79" s="30"/>
      <c r="N79" s="30"/>
      <c r="O79" s="30"/>
      <c r="P79" s="171"/>
      <c r="Q79" s="171"/>
      <c r="R79" s="171"/>
      <c r="S79" s="171"/>
      <c r="T79" s="170">
        <f t="shared" si="14"/>
        <v>0</v>
      </c>
      <c r="U79" s="330"/>
    </row>
    <row r="80" spans="1:28" ht="53.45" customHeight="1" x14ac:dyDescent="0.25">
      <c r="A80" s="293"/>
      <c r="B80" s="237" t="s">
        <v>449</v>
      </c>
      <c r="C80" s="293"/>
      <c r="D80" s="293"/>
      <c r="E80" s="315"/>
      <c r="F80" s="296"/>
      <c r="G80" s="296"/>
      <c r="H80" s="296"/>
      <c r="I80" s="236"/>
      <c r="J80" s="319"/>
      <c r="K80" s="238"/>
      <c r="L80" s="171"/>
      <c r="M80" s="30"/>
      <c r="N80" s="30"/>
      <c r="O80" s="30"/>
      <c r="P80" s="171"/>
      <c r="Q80" s="171"/>
      <c r="R80" s="171"/>
      <c r="S80" s="171"/>
      <c r="T80" s="170">
        <f t="shared" si="14"/>
        <v>0</v>
      </c>
      <c r="U80" s="330"/>
    </row>
    <row r="81" spans="1:21" ht="60.75" customHeight="1" x14ac:dyDescent="0.25">
      <c r="A81" s="293"/>
      <c r="B81" s="237" t="s">
        <v>489</v>
      </c>
      <c r="C81" s="293"/>
      <c r="D81" s="293"/>
      <c r="E81" s="315"/>
      <c r="F81" s="296"/>
      <c r="G81" s="296"/>
      <c r="H81" s="296"/>
      <c r="I81" s="236"/>
      <c r="J81" s="319"/>
      <c r="K81" s="238"/>
      <c r="L81" s="171"/>
      <c r="M81" s="30"/>
      <c r="N81" s="30"/>
      <c r="O81" s="30"/>
      <c r="P81" s="171"/>
      <c r="Q81" s="171"/>
      <c r="R81" s="171"/>
      <c r="S81" s="171"/>
      <c r="T81" s="170">
        <f t="shared" si="14"/>
        <v>0</v>
      </c>
      <c r="U81" s="330"/>
    </row>
    <row r="82" spans="1:21" ht="68.25" customHeight="1" x14ac:dyDescent="0.25">
      <c r="A82" s="293"/>
      <c r="B82" s="237" t="s">
        <v>485</v>
      </c>
      <c r="C82" s="293"/>
      <c r="D82" s="293"/>
      <c r="E82" s="315"/>
      <c r="F82" s="296"/>
      <c r="G82" s="296"/>
      <c r="H82" s="296"/>
      <c r="I82" s="236"/>
      <c r="J82" s="319"/>
      <c r="K82" s="238"/>
      <c r="L82" s="171"/>
      <c r="M82" s="30"/>
      <c r="N82" s="30"/>
      <c r="O82" s="30"/>
      <c r="P82" s="171"/>
      <c r="Q82" s="171"/>
      <c r="R82" s="171"/>
      <c r="S82" s="171"/>
      <c r="T82" s="170">
        <f t="shared" si="14"/>
        <v>0</v>
      </c>
      <c r="U82" s="330"/>
    </row>
    <row r="83" spans="1:21" ht="69.75" customHeight="1" x14ac:dyDescent="0.25">
      <c r="A83" s="293"/>
      <c r="B83" s="237" t="s">
        <v>486</v>
      </c>
      <c r="C83" s="293"/>
      <c r="D83" s="293"/>
      <c r="E83" s="315"/>
      <c r="F83" s="296"/>
      <c r="G83" s="296"/>
      <c r="H83" s="296"/>
      <c r="I83" s="236"/>
      <c r="J83" s="319"/>
      <c r="K83" s="238"/>
      <c r="L83" s="171"/>
      <c r="M83" s="30"/>
      <c r="N83" s="30"/>
      <c r="O83" s="30"/>
      <c r="P83" s="171"/>
      <c r="Q83" s="171"/>
      <c r="R83" s="171"/>
      <c r="S83" s="171"/>
      <c r="T83" s="170">
        <f t="shared" si="14"/>
        <v>0</v>
      </c>
      <c r="U83" s="330"/>
    </row>
    <row r="84" spans="1:21" ht="79.5" customHeight="1" x14ac:dyDescent="0.25">
      <c r="A84" s="293"/>
      <c r="B84" s="237" t="s">
        <v>487</v>
      </c>
      <c r="C84" s="293"/>
      <c r="D84" s="293"/>
      <c r="E84" s="315"/>
      <c r="F84" s="296"/>
      <c r="G84" s="296"/>
      <c r="H84" s="296"/>
      <c r="I84" s="236"/>
      <c r="J84" s="319"/>
      <c r="K84" s="238"/>
      <c r="L84" s="171"/>
      <c r="M84" s="30"/>
      <c r="N84" s="30"/>
      <c r="O84" s="30"/>
      <c r="P84" s="171"/>
      <c r="Q84" s="171"/>
      <c r="R84" s="171"/>
      <c r="S84" s="171"/>
      <c r="T84" s="170">
        <f t="shared" si="14"/>
        <v>0</v>
      </c>
      <c r="U84" s="330"/>
    </row>
    <row r="85" spans="1:21" ht="81" customHeight="1" x14ac:dyDescent="0.25">
      <c r="A85" s="293"/>
      <c r="B85" s="237" t="s">
        <v>488</v>
      </c>
      <c r="C85" s="293"/>
      <c r="D85" s="293"/>
      <c r="E85" s="315"/>
      <c r="F85" s="296"/>
      <c r="G85" s="296"/>
      <c r="H85" s="296"/>
      <c r="I85" s="236"/>
      <c r="J85" s="319"/>
      <c r="K85" s="238"/>
      <c r="L85" s="171"/>
      <c r="M85" s="30"/>
      <c r="N85" s="30"/>
      <c r="O85" s="30"/>
      <c r="P85" s="171"/>
      <c r="Q85" s="171"/>
      <c r="R85" s="171"/>
      <c r="S85" s="171"/>
      <c r="T85" s="170">
        <f t="shared" si="14"/>
        <v>0</v>
      </c>
      <c r="U85" s="330"/>
    </row>
    <row r="86" spans="1:21" ht="100.5" customHeight="1" x14ac:dyDescent="0.25">
      <c r="A86" s="293"/>
      <c r="B86" s="237" t="s">
        <v>490</v>
      </c>
      <c r="C86" s="293"/>
      <c r="D86" s="293"/>
      <c r="E86" s="315"/>
      <c r="F86" s="296"/>
      <c r="G86" s="296"/>
      <c r="H86" s="296"/>
      <c r="I86" s="236" t="s">
        <v>39</v>
      </c>
      <c r="J86" s="319"/>
      <c r="K86" s="238"/>
      <c r="L86" s="171"/>
      <c r="M86" s="30"/>
      <c r="N86" s="30"/>
      <c r="O86" s="30"/>
      <c r="P86" s="171"/>
      <c r="Q86" s="171"/>
      <c r="R86" s="171"/>
      <c r="S86" s="171">
        <v>2512.6999999999998</v>
      </c>
      <c r="T86" s="170">
        <f t="shared" si="14"/>
        <v>2512.6999999999998</v>
      </c>
      <c r="U86" s="330"/>
    </row>
    <row r="87" spans="1:21" ht="99" customHeight="1" x14ac:dyDescent="0.25">
      <c r="A87" s="293"/>
      <c r="B87" s="237" t="s">
        <v>491</v>
      </c>
      <c r="C87" s="293"/>
      <c r="D87" s="293"/>
      <c r="E87" s="315"/>
      <c r="F87" s="296"/>
      <c r="G87" s="296"/>
      <c r="H87" s="296"/>
      <c r="I87" s="236" t="s">
        <v>39</v>
      </c>
      <c r="J87" s="319"/>
      <c r="K87" s="238"/>
      <c r="L87" s="171"/>
      <c r="M87" s="30"/>
      <c r="N87" s="30"/>
      <c r="O87" s="30"/>
      <c r="P87" s="171"/>
      <c r="Q87" s="171"/>
      <c r="R87" s="171"/>
      <c r="S87" s="171">
        <v>1131.5</v>
      </c>
      <c r="T87" s="170">
        <f t="shared" si="14"/>
        <v>1131.5</v>
      </c>
      <c r="U87" s="330"/>
    </row>
    <row r="88" spans="1:21" ht="27.6" customHeight="1" x14ac:dyDescent="0.25">
      <c r="A88" s="293"/>
      <c r="B88" s="278" t="s">
        <v>498</v>
      </c>
      <c r="C88" s="293"/>
      <c r="D88" s="293"/>
      <c r="E88" s="315"/>
      <c r="F88" s="296"/>
      <c r="G88" s="296"/>
      <c r="H88" s="296"/>
      <c r="I88" s="236" t="s">
        <v>27</v>
      </c>
      <c r="J88" s="319"/>
      <c r="K88" s="31" t="s">
        <v>240</v>
      </c>
      <c r="L88" s="171"/>
      <c r="M88" s="30"/>
      <c r="N88" s="30"/>
      <c r="O88" s="30"/>
      <c r="P88" s="171">
        <v>10409.695</v>
      </c>
      <c r="Q88" s="171"/>
      <c r="R88" s="171"/>
      <c r="S88" s="171"/>
      <c r="T88" s="170">
        <f t="shared" si="14"/>
        <v>10409.695</v>
      </c>
      <c r="U88" s="330"/>
    </row>
    <row r="89" spans="1:21" ht="30.6" customHeight="1" x14ac:dyDescent="0.25">
      <c r="A89" s="293"/>
      <c r="B89" s="278"/>
      <c r="C89" s="293"/>
      <c r="D89" s="293"/>
      <c r="E89" s="315"/>
      <c r="F89" s="296"/>
      <c r="G89" s="296"/>
      <c r="H89" s="296"/>
      <c r="I89" s="236" t="s">
        <v>27</v>
      </c>
      <c r="J89" s="319"/>
      <c r="K89" s="31" t="s">
        <v>450</v>
      </c>
      <c r="L89" s="171"/>
      <c r="M89" s="30"/>
      <c r="N89" s="30"/>
      <c r="O89" s="30"/>
      <c r="P89" s="171"/>
      <c r="Q89" s="171">
        <v>37579.851000000002</v>
      </c>
      <c r="R89" s="171">
        <v>51676.048000000003</v>
      </c>
      <c r="S89" s="171">
        <v>27558.133000000002</v>
      </c>
      <c r="T89" s="170">
        <f t="shared" si="14"/>
        <v>116814.03200000001</v>
      </c>
      <c r="U89" s="330"/>
    </row>
    <row r="90" spans="1:21" ht="31.9" customHeight="1" x14ac:dyDescent="0.25">
      <c r="A90" s="293"/>
      <c r="B90" s="237" t="s">
        <v>492</v>
      </c>
      <c r="C90" s="293"/>
      <c r="D90" s="293"/>
      <c r="E90" s="315"/>
      <c r="F90" s="296"/>
      <c r="G90" s="296"/>
      <c r="H90" s="296"/>
      <c r="I90" s="236" t="s">
        <v>39</v>
      </c>
      <c r="J90" s="319"/>
      <c r="K90" s="238"/>
      <c r="L90" s="171"/>
      <c r="M90" s="30"/>
      <c r="N90" s="30"/>
      <c r="O90" s="30"/>
      <c r="P90" s="171"/>
      <c r="Q90" s="171"/>
      <c r="R90" s="171"/>
      <c r="S90" s="171">
        <v>53998.5</v>
      </c>
      <c r="T90" s="170">
        <f t="shared" si="14"/>
        <v>53998.5</v>
      </c>
      <c r="U90" s="330"/>
    </row>
    <row r="91" spans="1:21" ht="76.5" customHeight="1" x14ac:dyDescent="0.25">
      <c r="A91" s="293"/>
      <c r="B91" s="237" t="s">
        <v>493</v>
      </c>
      <c r="C91" s="293"/>
      <c r="D91" s="293"/>
      <c r="E91" s="315"/>
      <c r="F91" s="296"/>
      <c r="G91" s="296"/>
      <c r="H91" s="296"/>
      <c r="I91" s="236" t="s">
        <v>39</v>
      </c>
      <c r="J91" s="319"/>
      <c r="K91" s="238"/>
      <c r="L91" s="171"/>
      <c r="M91" s="30"/>
      <c r="N91" s="30"/>
      <c r="O91" s="30"/>
      <c r="P91" s="171"/>
      <c r="Q91" s="171"/>
      <c r="R91" s="171"/>
      <c r="S91" s="171">
        <v>2892</v>
      </c>
      <c r="T91" s="170">
        <f t="shared" si="14"/>
        <v>2892</v>
      </c>
      <c r="U91" s="330"/>
    </row>
    <row r="92" spans="1:21" ht="59.25" customHeight="1" x14ac:dyDescent="0.25">
      <c r="A92" s="293"/>
      <c r="B92" s="237" t="s">
        <v>494</v>
      </c>
      <c r="C92" s="293"/>
      <c r="D92" s="293"/>
      <c r="E92" s="315"/>
      <c r="F92" s="296"/>
      <c r="G92" s="296"/>
      <c r="H92" s="296"/>
      <c r="I92" s="236" t="s">
        <v>39</v>
      </c>
      <c r="J92" s="319"/>
      <c r="K92" s="238"/>
      <c r="L92" s="171"/>
      <c r="M92" s="30"/>
      <c r="N92" s="30"/>
      <c r="O92" s="30"/>
      <c r="P92" s="171"/>
      <c r="Q92" s="171"/>
      <c r="R92" s="171"/>
      <c r="S92" s="171">
        <v>126.7</v>
      </c>
      <c r="T92" s="170">
        <f t="shared" si="14"/>
        <v>126.7</v>
      </c>
      <c r="U92" s="330"/>
    </row>
    <row r="93" spans="1:21" ht="35.450000000000003" customHeight="1" x14ac:dyDescent="0.25">
      <c r="A93" s="294"/>
      <c r="B93" s="135" t="s">
        <v>116</v>
      </c>
      <c r="C93" s="152"/>
      <c r="D93" s="16"/>
      <c r="E93" s="17"/>
      <c r="F93" s="16"/>
      <c r="G93" s="16"/>
      <c r="H93" s="16"/>
      <c r="I93" s="16"/>
      <c r="J93" s="16"/>
      <c r="K93" s="16"/>
      <c r="L93" s="18">
        <f>L72+L73+L74+L75+L76+L77+L78+L79+L80+L81+L82+L83+L84+L85+L86+L87+L88+L89+L90+L91+L92</f>
        <v>0</v>
      </c>
      <c r="M93" s="18">
        <f t="shared" ref="M93:T93" si="15">M72+M73+M74+M75+M76+M77+M78+M79+M80+M81+M82+M83+M84+M85+M86+M87+M88+M89+M90+M91+M92</f>
        <v>0</v>
      </c>
      <c r="N93" s="18">
        <f t="shared" si="15"/>
        <v>0</v>
      </c>
      <c r="O93" s="18">
        <f t="shared" si="15"/>
        <v>0</v>
      </c>
      <c r="P93" s="18">
        <f t="shared" si="15"/>
        <v>42106.794999999998</v>
      </c>
      <c r="Q93" s="18">
        <f t="shared" si="15"/>
        <v>68391.951000000001</v>
      </c>
      <c r="R93" s="18">
        <f t="shared" si="15"/>
        <v>73535.248000000007</v>
      </c>
      <c r="S93" s="18">
        <f t="shared" si="15"/>
        <v>115660.633</v>
      </c>
      <c r="T93" s="18">
        <f t="shared" si="15"/>
        <v>299694.62700000004</v>
      </c>
      <c r="U93" s="20"/>
    </row>
    <row r="94" spans="1:21" s="11" customFormat="1" ht="35.450000000000003" customHeight="1" x14ac:dyDescent="0.25">
      <c r="A94" s="138"/>
      <c r="B94" s="320" t="s">
        <v>120</v>
      </c>
      <c r="C94" s="320"/>
      <c r="D94" s="320"/>
      <c r="E94" s="320"/>
      <c r="F94" s="320"/>
      <c r="G94" s="320"/>
      <c r="H94" s="320"/>
      <c r="I94" s="247"/>
      <c r="J94" s="247"/>
      <c r="K94" s="247"/>
      <c r="L94" s="248">
        <f t="shared" ref="L94:T94" si="16">L93+L71+L69</f>
        <v>0</v>
      </c>
      <c r="M94" s="248">
        <f t="shared" si="16"/>
        <v>0</v>
      </c>
      <c r="N94" s="248">
        <f t="shared" si="16"/>
        <v>0</v>
      </c>
      <c r="O94" s="248">
        <f t="shared" si="16"/>
        <v>0</v>
      </c>
      <c r="P94" s="248">
        <f t="shared" si="16"/>
        <v>58893.706999999995</v>
      </c>
      <c r="Q94" s="248">
        <f t="shared" si="16"/>
        <v>270783.85899999994</v>
      </c>
      <c r="R94" s="248">
        <f t="shared" si="16"/>
        <v>477072.22220000008</v>
      </c>
      <c r="S94" s="248">
        <f t="shared" si="16"/>
        <v>115660.633</v>
      </c>
      <c r="T94" s="248">
        <f t="shared" si="16"/>
        <v>922410.42119999998</v>
      </c>
      <c r="U94" s="254"/>
    </row>
    <row r="95" spans="1:21" ht="39" customHeight="1" x14ac:dyDescent="0.25">
      <c r="A95" s="290" t="s">
        <v>117</v>
      </c>
      <c r="B95" s="290"/>
      <c r="C95" s="290"/>
      <c r="D95" s="290"/>
      <c r="E95" s="290"/>
      <c r="F95" s="290"/>
      <c r="G95" s="290"/>
      <c r="H95" s="290"/>
      <c r="I95" s="290"/>
      <c r="J95" s="290"/>
      <c r="K95" s="290"/>
      <c r="L95" s="290"/>
      <c r="M95" s="290"/>
      <c r="N95" s="290"/>
      <c r="O95" s="290"/>
      <c r="P95" s="290"/>
      <c r="Q95" s="290"/>
      <c r="R95" s="290"/>
      <c r="S95" s="290"/>
      <c r="T95" s="290"/>
      <c r="U95" s="290"/>
    </row>
    <row r="96" spans="1:21" s="11" customFormat="1" ht="60" customHeight="1" x14ac:dyDescent="0.25">
      <c r="A96" s="362">
        <v>7</v>
      </c>
      <c r="B96" s="97" t="s">
        <v>159</v>
      </c>
      <c r="C96" s="151" t="s">
        <v>82</v>
      </c>
      <c r="D96" s="274" t="s">
        <v>24</v>
      </c>
      <c r="E96" s="304" t="s">
        <v>220</v>
      </c>
      <c r="F96" s="283" t="s">
        <v>25</v>
      </c>
      <c r="G96" s="283" t="s">
        <v>72</v>
      </c>
      <c r="H96" s="283" t="s">
        <v>38</v>
      </c>
      <c r="I96" s="128" t="s">
        <v>27</v>
      </c>
      <c r="J96" s="128">
        <v>213</v>
      </c>
      <c r="K96" s="128" t="s">
        <v>219</v>
      </c>
      <c r="L96" s="153"/>
      <c r="M96" s="153"/>
      <c r="N96" s="153"/>
      <c r="O96" s="153">
        <v>12111.4</v>
      </c>
      <c r="P96" s="153">
        <v>13004.7</v>
      </c>
      <c r="Q96" s="153">
        <v>13542</v>
      </c>
      <c r="R96" s="153">
        <v>13348.8</v>
      </c>
      <c r="S96" s="153"/>
      <c r="T96" s="153">
        <f>SUM(O96:R96)</f>
        <v>52006.899999999994</v>
      </c>
      <c r="U96" s="321"/>
    </row>
    <row r="97" spans="1:22" s="11" customFormat="1" ht="62.25" customHeight="1" x14ac:dyDescent="0.25">
      <c r="A97" s="362"/>
      <c r="B97" s="97" t="s">
        <v>160</v>
      </c>
      <c r="C97" s="274" t="s">
        <v>44</v>
      </c>
      <c r="D97" s="275"/>
      <c r="E97" s="305"/>
      <c r="F97" s="284"/>
      <c r="G97" s="284"/>
      <c r="H97" s="284"/>
      <c r="I97" s="128" t="s">
        <v>39</v>
      </c>
      <c r="J97" s="128"/>
      <c r="K97" s="127"/>
      <c r="L97" s="153"/>
      <c r="M97" s="153"/>
      <c r="N97" s="153"/>
      <c r="O97" s="153"/>
      <c r="P97" s="153"/>
      <c r="Q97" s="153"/>
      <c r="R97" s="153">
        <v>35883.300000000003</v>
      </c>
      <c r="S97" s="153"/>
      <c r="T97" s="153">
        <f t="shared" ref="T97:T99" si="17">SUM(O97:R97)</f>
        <v>35883.300000000003</v>
      </c>
      <c r="U97" s="322"/>
    </row>
    <row r="98" spans="1:22" s="11" customFormat="1" ht="33" customHeight="1" x14ac:dyDescent="0.25">
      <c r="A98" s="362"/>
      <c r="B98" s="342" t="s">
        <v>161</v>
      </c>
      <c r="C98" s="275"/>
      <c r="D98" s="275"/>
      <c r="E98" s="305"/>
      <c r="F98" s="284"/>
      <c r="G98" s="284"/>
      <c r="H98" s="284"/>
      <c r="I98" s="128" t="s">
        <v>27</v>
      </c>
      <c r="J98" s="128">
        <v>213</v>
      </c>
      <c r="K98" s="128" t="s">
        <v>207</v>
      </c>
      <c r="L98" s="153"/>
      <c r="M98" s="153"/>
      <c r="N98" s="153"/>
      <c r="O98" s="153">
        <v>1597.9</v>
      </c>
      <c r="P98" s="153">
        <v>1640.4</v>
      </c>
      <c r="Q98" s="153">
        <v>1557.8</v>
      </c>
      <c r="R98" s="153">
        <v>412.4</v>
      </c>
      <c r="S98" s="153"/>
      <c r="T98" s="153">
        <f t="shared" si="17"/>
        <v>5208.5</v>
      </c>
      <c r="U98" s="322"/>
    </row>
    <row r="99" spans="1:22" s="11" customFormat="1" ht="29.25" customHeight="1" x14ac:dyDescent="0.25">
      <c r="A99" s="362"/>
      <c r="B99" s="343"/>
      <c r="C99" s="276"/>
      <c r="D99" s="275"/>
      <c r="E99" s="305"/>
      <c r="F99" s="284"/>
      <c r="G99" s="284"/>
      <c r="H99" s="284"/>
      <c r="I99" s="128" t="s">
        <v>39</v>
      </c>
      <c r="J99" s="128"/>
      <c r="K99" s="127"/>
      <c r="L99" s="153"/>
      <c r="M99" s="153"/>
      <c r="N99" s="153"/>
      <c r="O99" s="153"/>
      <c r="P99" s="153"/>
      <c r="Q99" s="153"/>
      <c r="R99" s="153">
        <v>5860.7</v>
      </c>
      <c r="S99" s="153"/>
      <c r="T99" s="153">
        <f t="shared" si="17"/>
        <v>5860.7</v>
      </c>
      <c r="U99" s="322"/>
    </row>
    <row r="100" spans="1:22" s="11" customFormat="1" ht="85.5" customHeight="1" x14ac:dyDescent="0.25">
      <c r="A100" s="362"/>
      <c r="B100" s="129" t="s">
        <v>221</v>
      </c>
      <c r="C100" s="151" t="s">
        <v>82</v>
      </c>
      <c r="D100" s="276"/>
      <c r="E100" s="306"/>
      <c r="F100" s="285"/>
      <c r="G100" s="285"/>
      <c r="H100" s="285"/>
      <c r="I100" s="127"/>
      <c r="J100" s="127"/>
      <c r="K100" s="127"/>
      <c r="L100" s="153"/>
      <c r="M100" s="153"/>
      <c r="N100" s="153"/>
      <c r="O100" s="153"/>
      <c r="P100" s="153"/>
      <c r="Q100" s="153"/>
      <c r="R100" s="153"/>
      <c r="S100" s="188"/>
      <c r="T100" s="190">
        <v>0</v>
      </c>
      <c r="U100" s="323"/>
    </row>
    <row r="101" spans="1:22" s="11" customFormat="1" ht="34.15" customHeight="1" x14ac:dyDescent="0.25">
      <c r="A101" s="362"/>
      <c r="B101" s="140" t="s">
        <v>116</v>
      </c>
      <c r="C101" s="152"/>
      <c r="D101" s="16"/>
      <c r="E101" s="17"/>
      <c r="F101" s="16"/>
      <c r="G101" s="16"/>
      <c r="H101" s="16"/>
      <c r="I101" s="16"/>
      <c r="J101" s="16"/>
      <c r="K101" s="16"/>
      <c r="L101" s="18">
        <f t="shared" ref="L101" si="18">SUM(L96:L100)</f>
        <v>0</v>
      </c>
      <c r="M101" s="18">
        <f>M96+M97+M98+M99+M100</f>
        <v>0</v>
      </c>
      <c r="N101" s="18">
        <f t="shared" ref="N101:T101" si="19">N96+N97+N98+N99+N100</f>
        <v>0</v>
      </c>
      <c r="O101" s="18">
        <f t="shared" si="19"/>
        <v>13709.3</v>
      </c>
      <c r="P101" s="18">
        <f t="shared" si="19"/>
        <v>14645.1</v>
      </c>
      <c r="Q101" s="18">
        <f t="shared" si="19"/>
        <v>15099.8</v>
      </c>
      <c r="R101" s="18">
        <f t="shared" si="19"/>
        <v>55505.200000000004</v>
      </c>
      <c r="S101" s="18">
        <f t="shared" si="19"/>
        <v>0</v>
      </c>
      <c r="T101" s="18">
        <f t="shared" si="19"/>
        <v>98959.4</v>
      </c>
      <c r="U101" s="20"/>
    </row>
    <row r="102" spans="1:22" ht="36" customHeight="1" x14ac:dyDescent="0.25">
      <c r="A102" s="363">
        <v>8</v>
      </c>
      <c r="B102" s="357" t="s">
        <v>36</v>
      </c>
      <c r="C102" s="325" t="s">
        <v>23</v>
      </c>
      <c r="D102" s="325" t="s">
        <v>24</v>
      </c>
      <c r="E102" s="328" t="s">
        <v>37</v>
      </c>
      <c r="F102" s="326" t="s">
        <v>29</v>
      </c>
      <c r="G102" s="326" t="s">
        <v>299</v>
      </c>
      <c r="H102" s="326" t="s">
        <v>300</v>
      </c>
      <c r="I102" s="167" t="s">
        <v>27</v>
      </c>
      <c r="J102" s="162"/>
      <c r="K102" s="80" t="s">
        <v>298</v>
      </c>
      <c r="L102" s="149"/>
      <c r="M102" s="14"/>
      <c r="N102" s="14"/>
      <c r="O102" s="14">
        <v>3290.3</v>
      </c>
      <c r="P102" s="14">
        <v>1520.6</v>
      </c>
      <c r="Q102" s="14">
        <v>835.7</v>
      </c>
      <c r="R102" s="149">
        <v>2778</v>
      </c>
      <c r="S102" s="149"/>
      <c r="T102" s="6">
        <f>L102+M102+N102+O102+P102+Q102+R102</f>
        <v>8424.5999999999985</v>
      </c>
      <c r="U102" s="287"/>
    </row>
    <row r="103" spans="1:22" ht="30.75" customHeight="1" x14ac:dyDescent="0.25">
      <c r="A103" s="363"/>
      <c r="B103" s="358"/>
      <c r="C103" s="325"/>
      <c r="D103" s="325"/>
      <c r="E103" s="328"/>
      <c r="F103" s="326"/>
      <c r="G103" s="326"/>
      <c r="H103" s="326"/>
      <c r="I103" s="167" t="s">
        <v>28</v>
      </c>
      <c r="J103" s="162"/>
      <c r="K103" s="80" t="s">
        <v>298</v>
      </c>
      <c r="L103" s="149"/>
      <c r="M103" s="14"/>
      <c r="N103" s="14"/>
      <c r="O103" s="14"/>
      <c r="P103" s="14"/>
      <c r="Q103" s="14">
        <v>482.9</v>
      </c>
      <c r="R103" s="149"/>
      <c r="S103" s="149"/>
      <c r="T103" s="6">
        <f t="shared" ref="T103:T105" si="20">L103+M103+N103+O103+P103+Q103+R103</f>
        <v>482.9</v>
      </c>
      <c r="U103" s="288"/>
    </row>
    <row r="104" spans="1:22" ht="63.6" customHeight="1" x14ac:dyDescent="0.25">
      <c r="A104" s="363"/>
      <c r="B104" s="169" t="s">
        <v>301</v>
      </c>
      <c r="C104" s="325"/>
      <c r="D104" s="325"/>
      <c r="E104" s="328"/>
      <c r="F104" s="326"/>
      <c r="G104" s="326"/>
      <c r="H104" s="326"/>
      <c r="I104" s="167"/>
      <c r="J104" s="162"/>
      <c r="K104" s="80"/>
      <c r="L104" s="149"/>
      <c r="M104" s="14"/>
      <c r="N104" s="14"/>
      <c r="O104" s="14"/>
      <c r="P104" s="14"/>
      <c r="Q104" s="14"/>
      <c r="R104" s="149"/>
      <c r="S104" s="149"/>
      <c r="T104" s="6">
        <v>0</v>
      </c>
      <c r="U104" s="288"/>
    </row>
    <row r="105" spans="1:22" ht="39.75" customHeight="1" x14ac:dyDescent="0.25">
      <c r="A105" s="363"/>
      <c r="B105" s="27" t="s">
        <v>302</v>
      </c>
      <c r="C105" s="325"/>
      <c r="D105" s="325"/>
      <c r="E105" s="328"/>
      <c r="F105" s="326"/>
      <c r="G105" s="326"/>
      <c r="H105" s="326"/>
      <c r="I105" s="167" t="s">
        <v>39</v>
      </c>
      <c r="J105" s="168"/>
      <c r="K105" s="166"/>
      <c r="L105" s="149"/>
      <c r="M105" s="14"/>
      <c r="N105" s="14"/>
      <c r="O105" s="14"/>
      <c r="P105" s="14"/>
      <c r="Q105" s="14"/>
      <c r="R105" s="149"/>
      <c r="S105" s="149"/>
      <c r="T105" s="6">
        <f t="shared" si="20"/>
        <v>0</v>
      </c>
      <c r="U105" s="289"/>
    </row>
    <row r="106" spans="1:22" ht="33.6" customHeight="1" x14ac:dyDescent="0.25">
      <c r="A106" s="363"/>
      <c r="B106" s="140" t="s">
        <v>116</v>
      </c>
      <c r="C106" s="152"/>
      <c r="D106" s="16"/>
      <c r="E106" s="17"/>
      <c r="F106" s="16"/>
      <c r="G106" s="16"/>
      <c r="H106" s="16"/>
      <c r="I106" s="16"/>
      <c r="J106" s="16"/>
      <c r="K106" s="18"/>
      <c r="L106" s="18">
        <f t="shared" ref="L106" si="21">L102+L103+L105</f>
        <v>0</v>
      </c>
      <c r="M106" s="18">
        <f>M102+M103+M104+M105</f>
        <v>0</v>
      </c>
      <c r="N106" s="18">
        <f t="shared" ref="N106:T106" si="22">N102+N103+N104+N105</f>
        <v>0</v>
      </c>
      <c r="O106" s="18">
        <f t="shared" si="22"/>
        <v>3290.3</v>
      </c>
      <c r="P106" s="18">
        <f t="shared" si="22"/>
        <v>1520.6</v>
      </c>
      <c r="Q106" s="18">
        <f t="shared" si="22"/>
        <v>1318.6</v>
      </c>
      <c r="R106" s="18">
        <f t="shared" si="22"/>
        <v>2778</v>
      </c>
      <c r="S106" s="18">
        <f t="shared" si="22"/>
        <v>0</v>
      </c>
      <c r="T106" s="18">
        <f t="shared" si="22"/>
        <v>8907.4999999999982</v>
      </c>
      <c r="U106" s="20"/>
      <c r="V106" s="76"/>
    </row>
    <row r="107" spans="1:22" ht="26.25" customHeight="1" x14ac:dyDescent="0.25">
      <c r="A107" s="360">
        <v>9</v>
      </c>
      <c r="B107" s="27" t="s">
        <v>478</v>
      </c>
      <c r="C107" s="292" t="s">
        <v>23</v>
      </c>
      <c r="D107" s="292" t="s">
        <v>24</v>
      </c>
      <c r="E107" s="304" t="s">
        <v>481</v>
      </c>
      <c r="F107" s="283" t="s">
        <v>482</v>
      </c>
      <c r="G107" s="283" t="s">
        <v>483</v>
      </c>
      <c r="H107" s="283" t="s">
        <v>151</v>
      </c>
      <c r="I107" s="231"/>
      <c r="J107" s="69"/>
      <c r="K107" s="80"/>
      <c r="L107" s="25"/>
      <c r="M107" s="14"/>
      <c r="N107" s="14"/>
      <c r="O107" s="14"/>
      <c r="P107" s="14"/>
      <c r="Q107" s="14"/>
      <c r="R107" s="14"/>
      <c r="S107" s="14"/>
      <c r="T107" s="62">
        <f>L107+M107+N107+O107+P107+Q107+R107+S107</f>
        <v>0</v>
      </c>
      <c r="U107" s="287"/>
    </row>
    <row r="108" spans="1:22" ht="57" customHeight="1" x14ac:dyDescent="0.25">
      <c r="A108" s="364"/>
      <c r="B108" s="27" t="s">
        <v>484</v>
      </c>
      <c r="C108" s="293"/>
      <c r="D108" s="293"/>
      <c r="E108" s="305"/>
      <c r="F108" s="284"/>
      <c r="G108" s="284"/>
      <c r="H108" s="284"/>
      <c r="I108" s="231"/>
      <c r="J108" s="28"/>
      <c r="K108" s="230"/>
      <c r="L108" s="25"/>
      <c r="M108" s="14"/>
      <c r="N108" s="14"/>
      <c r="O108" s="14"/>
      <c r="P108" s="14"/>
      <c r="Q108" s="14"/>
      <c r="R108" s="25"/>
      <c r="S108" s="25"/>
      <c r="T108" s="62">
        <f t="shared" ref="T108:T110" si="23">L108+M108+N108+O108+P108+Q108+R108+S108</f>
        <v>0</v>
      </c>
      <c r="U108" s="288"/>
    </row>
    <row r="109" spans="1:22" ht="57" customHeight="1" x14ac:dyDescent="0.25">
      <c r="A109" s="364"/>
      <c r="B109" s="27" t="s">
        <v>479</v>
      </c>
      <c r="C109" s="293"/>
      <c r="D109" s="293"/>
      <c r="E109" s="305"/>
      <c r="F109" s="284"/>
      <c r="G109" s="284"/>
      <c r="H109" s="284"/>
      <c r="I109" s="231"/>
      <c r="J109" s="28"/>
      <c r="K109" s="230"/>
      <c r="L109" s="25"/>
      <c r="M109" s="14"/>
      <c r="N109" s="14"/>
      <c r="O109" s="14"/>
      <c r="P109" s="14"/>
      <c r="Q109" s="14"/>
      <c r="R109" s="25"/>
      <c r="S109" s="25"/>
      <c r="T109" s="62">
        <f t="shared" si="23"/>
        <v>0</v>
      </c>
      <c r="U109" s="288"/>
    </row>
    <row r="110" spans="1:22" ht="37.5" customHeight="1" x14ac:dyDescent="0.25">
      <c r="A110" s="364"/>
      <c r="B110" s="27" t="s">
        <v>480</v>
      </c>
      <c r="C110" s="294"/>
      <c r="D110" s="294"/>
      <c r="E110" s="306"/>
      <c r="F110" s="285"/>
      <c r="G110" s="285"/>
      <c r="H110" s="285"/>
      <c r="I110" s="231"/>
      <c r="J110" s="28"/>
      <c r="K110" s="232"/>
      <c r="L110" s="25"/>
      <c r="M110" s="25"/>
      <c r="N110" s="25"/>
      <c r="O110" s="25"/>
      <c r="P110" s="25"/>
      <c r="Q110" s="25"/>
      <c r="R110" s="25">
        <v>385900</v>
      </c>
      <c r="S110" s="25">
        <v>300400</v>
      </c>
      <c r="T110" s="62">
        <f t="shared" si="23"/>
        <v>686300</v>
      </c>
      <c r="U110" s="289"/>
    </row>
    <row r="111" spans="1:22" ht="39.6" customHeight="1" x14ac:dyDescent="0.25">
      <c r="A111" s="361"/>
      <c r="B111" s="233" t="s">
        <v>116</v>
      </c>
      <c r="C111" s="152"/>
      <c r="D111" s="16"/>
      <c r="E111" s="98"/>
      <c r="F111" s="16"/>
      <c r="G111" s="16"/>
      <c r="H111" s="16"/>
      <c r="I111" s="16"/>
      <c r="J111" s="16"/>
      <c r="K111" s="16"/>
      <c r="L111" s="18">
        <f t="shared" ref="L111:T111" si="24">SUM(L107:L110)</f>
        <v>0</v>
      </c>
      <c r="M111" s="18">
        <f t="shared" si="24"/>
        <v>0</v>
      </c>
      <c r="N111" s="18">
        <f t="shared" si="24"/>
        <v>0</v>
      </c>
      <c r="O111" s="18">
        <f t="shared" si="24"/>
        <v>0</v>
      </c>
      <c r="P111" s="18">
        <f t="shared" si="24"/>
        <v>0</v>
      </c>
      <c r="Q111" s="18">
        <f t="shared" si="24"/>
        <v>0</v>
      </c>
      <c r="R111" s="18">
        <f t="shared" si="24"/>
        <v>385900</v>
      </c>
      <c r="S111" s="18">
        <f t="shared" si="24"/>
        <v>300400</v>
      </c>
      <c r="T111" s="18">
        <f t="shared" si="24"/>
        <v>686300</v>
      </c>
      <c r="U111" s="20"/>
      <c r="V111" s="76"/>
    </row>
    <row r="112" spans="1:22" s="11" customFormat="1" ht="33" customHeight="1" x14ac:dyDescent="0.25">
      <c r="A112" s="79"/>
      <c r="B112" s="320" t="s">
        <v>120</v>
      </c>
      <c r="C112" s="320"/>
      <c r="D112" s="320"/>
      <c r="E112" s="320"/>
      <c r="F112" s="320"/>
      <c r="G112" s="320"/>
      <c r="H112" s="320"/>
      <c r="I112" s="247"/>
      <c r="J112" s="247"/>
      <c r="K112" s="247"/>
      <c r="L112" s="248">
        <f>L111+L106+L101</f>
        <v>0</v>
      </c>
      <c r="M112" s="248">
        <f t="shared" ref="M112:T112" si="25">M111+M106+M101</f>
        <v>0</v>
      </c>
      <c r="N112" s="248">
        <f t="shared" si="25"/>
        <v>0</v>
      </c>
      <c r="O112" s="248">
        <f t="shared" si="25"/>
        <v>16999.599999999999</v>
      </c>
      <c r="P112" s="248">
        <f t="shared" si="25"/>
        <v>16165.7</v>
      </c>
      <c r="Q112" s="248">
        <f t="shared" si="25"/>
        <v>16418.399999999998</v>
      </c>
      <c r="R112" s="248">
        <f t="shared" si="25"/>
        <v>444183.2</v>
      </c>
      <c r="S112" s="248">
        <f t="shared" si="25"/>
        <v>300400</v>
      </c>
      <c r="T112" s="248">
        <f t="shared" si="25"/>
        <v>794166.9</v>
      </c>
      <c r="U112" s="249"/>
    </row>
    <row r="113" spans="1:21" s="11" customFormat="1" ht="27" customHeight="1" x14ac:dyDescent="0.25">
      <c r="A113" s="327" t="s">
        <v>117</v>
      </c>
      <c r="B113" s="327"/>
      <c r="C113" s="327"/>
      <c r="D113" s="327"/>
      <c r="E113" s="327"/>
      <c r="F113" s="327"/>
      <c r="G113" s="327"/>
      <c r="H113" s="327"/>
      <c r="I113" s="327"/>
      <c r="J113" s="327"/>
      <c r="K113" s="327"/>
      <c r="L113" s="327"/>
      <c r="M113" s="327"/>
      <c r="N113" s="327"/>
      <c r="O113" s="327"/>
      <c r="P113" s="327"/>
      <c r="Q113" s="327"/>
      <c r="R113" s="327"/>
      <c r="S113" s="327"/>
      <c r="T113" s="327"/>
      <c r="U113" s="327"/>
    </row>
    <row r="114" spans="1:21" s="1" customFormat="1" ht="36" customHeight="1" x14ac:dyDescent="0.25">
      <c r="A114" s="362">
        <v>10</v>
      </c>
      <c r="B114" s="278" t="s">
        <v>384</v>
      </c>
      <c r="C114" s="286" t="s">
        <v>48</v>
      </c>
      <c r="D114" s="286" t="s">
        <v>49</v>
      </c>
      <c r="E114" s="328" t="s">
        <v>50</v>
      </c>
      <c r="F114" s="286" t="s">
        <v>153</v>
      </c>
      <c r="G114" s="286" t="s">
        <v>393</v>
      </c>
      <c r="H114" s="286" t="s">
        <v>51</v>
      </c>
      <c r="I114" s="37" t="s">
        <v>27</v>
      </c>
      <c r="J114" s="38">
        <v>225</v>
      </c>
      <c r="K114" s="12" t="s">
        <v>52</v>
      </c>
      <c r="L114" s="14"/>
      <c r="M114" s="39"/>
      <c r="N114" s="40"/>
      <c r="O114" s="41"/>
      <c r="P114" s="30"/>
      <c r="Q114" s="30">
        <f>826565.4/1000</f>
        <v>826.56540000000007</v>
      </c>
      <c r="R114" s="30"/>
      <c r="S114" s="30"/>
      <c r="T114" s="161">
        <f>SUM(M114:R114)</f>
        <v>826.56540000000007</v>
      </c>
      <c r="U114" s="298"/>
    </row>
    <row r="115" spans="1:21" s="1" customFormat="1" ht="36" customHeight="1" x14ac:dyDescent="0.25">
      <c r="A115" s="362"/>
      <c r="B115" s="278"/>
      <c r="C115" s="286"/>
      <c r="D115" s="286"/>
      <c r="E115" s="328"/>
      <c r="F115" s="286"/>
      <c r="G115" s="286"/>
      <c r="H115" s="286"/>
      <c r="I115" s="37" t="s">
        <v>27</v>
      </c>
      <c r="J115" s="38">
        <v>225</v>
      </c>
      <c r="K115" s="12" t="s">
        <v>53</v>
      </c>
      <c r="L115" s="14"/>
      <c r="M115" s="39"/>
      <c r="N115" s="40"/>
      <c r="O115" s="41"/>
      <c r="P115" s="30">
        <f>13341830/1000</f>
        <v>13341.83</v>
      </c>
      <c r="Q115" s="30">
        <f>39609952/1000</f>
        <v>39609.951999999997</v>
      </c>
      <c r="R115" s="30">
        <f>76354988/1000</f>
        <v>76354.987999999998</v>
      </c>
      <c r="S115" s="30"/>
      <c r="T115" s="161">
        <f>SUM(M115:R115)</f>
        <v>129306.76999999999</v>
      </c>
      <c r="U115" s="298"/>
    </row>
    <row r="116" spans="1:21" s="1" customFormat="1" ht="46.5" x14ac:dyDescent="0.25">
      <c r="A116" s="362"/>
      <c r="B116" s="32" t="s">
        <v>385</v>
      </c>
      <c r="C116" s="286"/>
      <c r="D116" s="286"/>
      <c r="E116" s="328"/>
      <c r="F116" s="286"/>
      <c r="G116" s="286"/>
      <c r="H116" s="286"/>
      <c r="I116" s="37" t="s">
        <v>27</v>
      </c>
      <c r="J116" s="38">
        <v>225</v>
      </c>
      <c r="K116" s="12"/>
      <c r="L116" s="14"/>
      <c r="M116" s="39"/>
      <c r="N116" s="40"/>
      <c r="O116" s="41"/>
      <c r="P116" s="30"/>
      <c r="Q116" s="30"/>
      <c r="R116" s="30"/>
      <c r="S116" s="30"/>
      <c r="T116" s="161">
        <v>0</v>
      </c>
      <c r="U116" s="298"/>
    </row>
    <row r="117" spans="1:21" s="1" customFormat="1" ht="33" customHeight="1" x14ac:dyDescent="0.25">
      <c r="A117" s="362"/>
      <c r="B117" s="32" t="s">
        <v>411</v>
      </c>
      <c r="C117" s="286"/>
      <c r="D117" s="286"/>
      <c r="E117" s="328"/>
      <c r="F117" s="286"/>
      <c r="G117" s="286"/>
      <c r="H117" s="286"/>
      <c r="I117" s="37" t="s">
        <v>27</v>
      </c>
      <c r="J117" s="38">
        <v>225</v>
      </c>
      <c r="K117" s="12" t="s">
        <v>53</v>
      </c>
      <c r="L117" s="14"/>
      <c r="M117" s="39"/>
      <c r="N117" s="40"/>
      <c r="O117" s="41"/>
      <c r="P117" s="30">
        <f>13341830/1000</f>
        <v>13341.83</v>
      </c>
      <c r="Q117" s="30">
        <f>39609952/1000</f>
        <v>39609.951999999997</v>
      </c>
      <c r="R117" s="30">
        <f>76354988/1000</f>
        <v>76354.987999999998</v>
      </c>
      <c r="S117" s="30"/>
      <c r="T117" s="161">
        <f>SUM(M117:R117)</f>
        <v>129306.76999999999</v>
      </c>
      <c r="U117" s="298"/>
    </row>
    <row r="118" spans="1:21" s="1" customFormat="1" ht="30.75" customHeight="1" x14ac:dyDescent="0.25">
      <c r="A118" s="362"/>
      <c r="B118" s="32" t="s">
        <v>386</v>
      </c>
      <c r="C118" s="286"/>
      <c r="D118" s="286"/>
      <c r="E118" s="328"/>
      <c r="F118" s="286"/>
      <c r="G118" s="286"/>
      <c r="H118" s="286"/>
      <c r="I118" s="37" t="s">
        <v>54</v>
      </c>
      <c r="J118" s="38">
        <v>261</v>
      </c>
      <c r="K118" s="12" t="s">
        <v>55</v>
      </c>
      <c r="L118" s="14"/>
      <c r="M118" s="39"/>
      <c r="N118" s="40"/>
      <c r="O118" s="41"/>
      <c r="P118" s="30"/>
      <c r="Q118" s="30">
        <f>2106224/1000</f>
        <v>2106.2240000000002</v>
      </c>
      <c r="R118" s="30">
        <f>1956000/1000</f>
        <v>1956</v>
      </c>
      <c r="S118" s="30"/>
      <c r="T118" s="161">
        <f>SUM(M118:R118)</f>
        <v>4062.2240000000002</v>
      </c>
      <c r="U118" s="298"/>
    </row>
    <row r="119" spans="1:21" s="1" customFormat="1" ht="34.5" customHeight="1" x14ac:dyDescent="0.25">
      <c r="A119" s="362"/>
      <c r="B119" s="32" t="s">
        <v>387</v>
      </c>
      <c r="C119" s="286"/>
      <c r="D119" s="286"/>
      <c r="E119" s="328"/>
      <c r="F119" s="286"/>
      <c r="G119" s="286"/>
      <c r="H119" s="286"/>
      <c r="I119" s="37" t="s">
        <v>54</v>
      </c>
      <c r="J119" s="38">
        <v>373</v>
      </c>
      <c r="K119" s="12" t="s">
        <v>56</v>
      </c>
      <c r="L119" s="14"/>
      <c r="M119" s="39"/>
      <c r="N119" s="40"/>
      <c r="O119" s="41"/>
      <c r="P119" s="30">
        <f>13470/1000</f>
        <v>13.47</v>
      </c>
      <c r="Q119" s="30">
        <f>2245/1000</f>
        <v>2.2450000000000001</v>
      </c>
      <c r="R119" s="30"/>
      <c r="S119" s="30"/>
      <c r="T119" s="161">
        <f>SUM(M119:R119)</f>
        <v>15.715</v>
      </c>
      <c r="U119" s="298"/>
    </row>
    <row r="120" spans="1:21" s="1" customFormat="1" ht="29.25" customHeight="1" x14ac:dyDescent="0.25">
      <c r="A120" s="362"/>
      <c r="B120" s="32" t="s">
        <v>388</v>
      </c>
      <c r="C120" s="286"/>
      <c r="D120" s="286"/>
      <c r="E120" s="328"/>
      <c r="F120" s="286"/>
      <c r="G120" s="286"/>
      <c r="H120" s="286"/>
      <c r="I120" s="37" t="s">
        <v>54</v>
      </c>
      <c r="J120" s="38">
        <v>360</v>
      </c>
      <c r="K120" s="12" t="s">
        <v>55</v>
      </c>
      <c r="L120" s="14"/>
      <c r="M120" s="39"/>
      <c r="N120" s="40"/>
      <c r="O120" s="41"/>
      <c r="P120" s="30"/>
      <c r="Q120" s="30">
        <f>308293.3/1000</f>
        <v>308.29329999999999</v>
      </c>
      <c r="R120" s="30">
        <f>3793911.4/1000</f>
        <v>3793.9114</v>
      </c>
      <c r="S120" s="30"/>
      <c r="T120" s="161">
        <f>SUM(M120:R120)</f>
        <v>4102.2047000000002</v>
      </c>
      <c r="U120" s="298"/>
    </row>
    <row r="121" spans="1:21" s="1" customFormat="1" ht="46.5" x14ac:dyDescent="0.25">
      <c r="A121" s="362"/>
      <c r="B121" s="32" t="s">
        <v>389</v>
      </c>
      <c r="C121" s="286"/>
      <c r="D121" s="286"/>
      <c r="E121" s="328"/>
      <c r="F121" s="286"/>
      <c r="G121" s="286"/>
      <c r="H121" s="286"/>
      <c r="I121" s="37"/>
      <c r="J121" s="38"/>
      <c r="K121" s="12"/>
      <c r="L121" s="14"/>
      <c r="M121" s="39"/>
      <c r="N121" s="40"/>
      <c r="O121" s="40"/>
      <c r="P121" s="30"/>
      <c r="Q121" s="30"/>
      <c r="R121" s="30"/>
      <c r="S121" s="30"/>
      <c r="T121" s="161">
        <v>0</v>
      </c>
      <c r="U121" s="298"/>
    </row>
    <row r="122" spans="1:21" s="1" customFormat="1" ht="46.5" x14ac:dyDescent="0.25">
      <c r="A122" s="362"/>
      <c r="B122" s="32" t="s">
        <v>390</v>
      </c>
      <c r="C122" s="286"/>
      <c r="D122" s="286"/>
      <c r="E122" s="328"/>
      <c r="F122" s="286"/>
      <c r="G122" s="286"/>
      <c r="H122" s="286"/>
      <c r="I122" s="37"/>
      <c r="J122" s="38"/>
      <c r="K122" s="12"/>
      <c r="L122" s="14"/>
      <c r="M122" s="39"/>
      <c r="N122" s="40"/>
      <c r="O122" s="40"/>
      <c r="P122" s="30"/>
      <c r="Q122" s="30"/>
      <c r="R122" s="30"/>
      <c r="S122" s="30"/>
      <c r="T122" s="161">
        <v>0</v>
      </c>
      <c r="U122" s="298"/>
    </row>
    <row r="123" spans="1:21" s="1" customFormat="1" ht="46.5" x14ac:dyDescent="0.25">
      <c r="A123" s="362"/>
      <c r="B123" s="32" t="s">
        <v>391</v>
      </c>
      <c r="C123" s="286"/>
      <c r="D123" s="286"/>
      <c r="E123" s="328"/>
      <c r="F123" s="286"/>
      <c r="G123" s="286"/>
      <c r="H123" s="286"/>
      <c r="I123" s="37"/>
      <c r="J123" s="38"/>
      <c r="K123" s="12"/>
      <c r="L123" s="14"/>
      <c r="M123" s="39"/>
      <c r="N123" s="40"/>
      <c r="O123" s="40"/>
      <c r="P123" s="30"/>
      <c r="Q123" s="30"/>
      <c r="R123" s="30"/>
      <c r="S123" s="30"/>
      <c r="T123" s="161">
        <v>0</v>
      </c>
      <c r="U123" s="298"/>
    </row>
    <row r="124" spans="1:21" s="1" customFormat="1" ht="46.5" x14ac:dyDescent="0.25">
      <c r="A124" s="362"/>
      <c r="B124" s="32" t="s">
        <v>392</v>
      </c>
      <c r="C124" s="286"/>
      <c r="D124" s="286"/>
      <c r="E124" s="328"/>
      <c r="F124" s="286"/>
      <c r="G124" s="286"/>
      <c r="H124" s="286"/>
      <c r="I124" s="37"/>
      <c r="J124" s="38"/>
      <c r="K124" s="12"/>
      <c r="L124" s="14"/>
      <c r="M124" s="39"/>
      <c r="N124" s="40"/>
      <c r="O124" s="40"/>
      <c r="P124" s="30"/>
      <c r="Q124" s="30"/>
      <c r="R124" s="30"/>
      <c r="S124" s="30"/>
      <c r="T124" s="161">
        <v>0</v>
      </c>
      <c r="U124" s="298"/>
    </row>
    <row r="125" spans="1:21" s="1" customFormat="1" ht="30.6" customHeight="1" x14ac:dyDescent="0.25">
      <c r="A125" s="362"/>
      <c r="B125" s="42" t="s">
        <v>57</v>
      </c>
      <c r="C125" s="286"/>
      <c r="D125" s="286"/>
      <c r="E125" s="328"/>
      <c r="F125" s="286"/>
      <c r="G125" s="286"/>
      <c r="H125" s="286"/>
      <c r="I125" s="37"/>
      <c r="J125" s="38"/>
      <c r="K125" s="12"/>
      <c r="L125" s="14"/>
      <c r="M125" s="39"/>
      <c r="N125" s="40"/>
      <c r="O125" s="40"/>
      <c r="P125" s="30"/>
      <c r="Q125" s="30"/>
      <c r="R125" s="30"/>
      <c r="S125" s="30"/>
      <c r="T125" s="161">
        <v>0</v>
      </c>
      <c r="U125" s="298"/>
    </row>
    <row r="126" spans="1:21" s="1" customFormat="1" ht="23.25" x14ac:dyDescent="0.25">
      <c r="A126" s="362"/>
      <c r="B126" s="278" t="s">
        <v>412</v>
      </c>
      <c r="C126" s="286"/>
      <c r="D126" s="286"/>
      <c r="E126" s="328"/>
      <c r="F126" s="286"/>
      <c r="G126" s="286"/>
      <c r="H126" s="286"/>
      <c r="I126" s="37" t="s">
        <v>54</v>
      </c>
      <c r="J126" s="38">
        <v>360</v>
      </c>
      <c r="K126" s="12" t="s">
        <v>55</v>
      </c>
      <c r="L126" s="14"/>
      <c r="M126" s="39"/>
      <c r="N126" s="40"/>
      <c r="O126" s="40"/>
      <c r="P126" s="30"/>
      <c r="Q126" s="30">
        <f>308293.3/1000</f>
        <v>308.29329999999999</v>
      </c>
      <c r="R126" s="30">
        <f>3793911.4/1000</f>
        <v>3793.9114</v>
      </c>
      <c r="S126" s="30"/>
      <c r="T126" s="161">
        <f t="shared" ref="T126:T147" si="26">SUM(M126:R126)</f>
        <v>4102.2047000000002</v>
      </c>
      <c r="U126" s="298"/>
    </row>
    <row r="127" spans="1:21" s="1" customFormat="1" ht="23.25" x14ac:dyDescent="0.25">
      <c r="A127" s="362"/>
      <c r="B127" s="278"/>
      <c r="C127" s="286"/>
      <c r="D127" s="286"/>
      <c r="E127" s="328"/>
      <c r="F127" s="286"/>
      <c r="G127" s="286"/>
      <c r="H127" s="286"/>
      <c r="I127" s="37" t="s">
        <v>27</v>
      </c>
      <c r="J127" s="38">
        <v>225</v>
      </c>
      <c r="K127" s="12" t="s">
        <v>53</v>
      </c>
      <c r="L127" s="14"/>
      <c r="M127" s="39"/>
      <c r="N127" s="40"/>
      <c r="O127" s="40"/>
      <c r="P127" s="30"/>
      <c r="Q127" s="30">
        <f>909619/1000</f>
        <v>909.61900000000003</v>
      </c>
      <c r="R127" s="30">
        <f>5202339.9/1000</f>
        <v>5202.3398999999999</v>
      </c>
      <c r="S127" s="30"/>
      <c r="T127" s="161">
        <f t="shared" si="26"/>
        <v>6111.9588999999996</v>
      </c>
      <c r="U127" s="298"/>
    </row>
    <row r="128" spans="1:21" s="1" customFormat="1" ht="34.5" customHeight="1" x14ac:dyDescent="0.25">
      <c r="A128" s="362"/>
      <c r="B128" s="32" t="s">
        <v>413</v>
      </c>
      <c r="C128" s="286"/>
      <c r="D128" s="286"/>
      <c r="E128" s="328"/>
      <c r="F128" s="286"/>
      <c r="G128" s="286"/>
      <c r="H128" s="286"/>
      <c r="I128" s="37"/>
      <c r="J128" s="38"/>
      <c r="K128" s="12"/>
      <c r="L128" s="14"/>
      <c r="M128" s="39"/>
      <c r="N128" s="40"/>
      <c r="O128" s="40"/>
      <c r="P128" s="30"/>
      <c r="Q128" s="30"/>
      <c r="R128" s="30">
        <f>((7841195+8577862.84)/1000)/1000</f>
        <v>16.419057840000001</v>
      </c>
      <c r="S128" s="30"/>
      <c r="T128" s="161">
        <f t="shared" si="26"/>
        <v>16.419057840000001</v>
      </c>
      <c r="U128" s="298"/>
    </row>
    <row r="129" spans="1:21" s="1" customFormat="1" ht="34.5" customHeight="1" x14ac:dyDescent="0.25">
      <c r="A129" s="362"/>
      <c r="B129" s="32" t="s">
        <v>414</v>
      </c>
      <c r="C129" s="286"/>
      <c r="D129" s="286"/>
      <c r="E129" s="328"/>
      <c r="F129" s="286"/>
      <c r="G129" s="286"/>
      <c r="H129" s="286"/>
      <c r="I129" s="37"/>
      <c r="J129" s="38"/>
      <c r="K129" s="12"/>
      <c r="L129" s="14"/>
      <c r="M129" s="39"/>
      <c r="N129" s="40"/>
      <c r="O129" s="40"/>
      <c r="P129" s="30"/>
      <c r="Q129" s="30"/>
      <c r="R129" s="30">
        <f>((10645710-1033922.58+1602580)/1000)/1000</f>
        <v>11.21436742</v>
      </c>
      <c r="S129" s="30"/>
      <c r="T129" s="161">
        <f t="shared" si="26"/>
        <v>11.21436742</v>
      </c>
      <c r="U129" s="298"/>
    </row>
    <row r="130" spans="1:21" s="1" customFormat="1" ht="38.25" customHeight="1" x14ac:dyDescent="0.25">
      <c r="A130" s="362"/>
      <c r="B130" s="32" t="s">
        <v>415</v>
      </c>
      <c r="C130" s="286"/>
      <c r="D130" s="286"/>
      <c r="E130" s="328"/>
      <c r="F130" s="286"/>
      <c r="G130" s="286"/>
      <c r="H130" s="286"/>
      <c r="I130" s="37"/>
      <c r="J130" s="38"/>
      <c r="K130" s="12"/>
      <c r="L130" s="14"/>
      <c r="M130" s="39"/>
      <c r="N130" s="40"/>
      <c r="O130" s="40"/>
      <c r="P130" s="30"/>
      <c r="Q130" s="30">
        <f>((20496952+10493127+10803604+10610935+10418264.6+36049486.7)/1000)/1000</f>
        <v>98.872369300000003</v>
      </c>
      <c r="R130" s="30">
        <v>50.814424670000001</v>
      </c>
      <c r="S130" s="30"/>
      <c r="T130" s="161">
        <f t="shared" si="26"/>
        <v>149.68679397</v>
      </c>
      <c r="U130" s="298"/>
    </row>
    <row r="131" spans="1:21" s="1" customFormat="1" ht="33" customHeight="1" x14ac:dyDescent="0.25">
      <c r="A131" s="362"/>
      <c r="B131" s="32" t="s">
        <v>416</v>
      </c>
      <c r="C131" s="286"/>
      <c r="D131" s="286"/>
      <c r="E131" s="328"/>
      <c r="F131" s="286"/>
      <c r="G131" s="286"/>
      <c r="H131" s="286"/>
      <c r="I131" s="37"/>
      <c r="J131" s="38"/>
      <c r="K131" s="12"/>
      <c r="L131" s="14"/>
      <c r="M131" s="39"/>
      <c r="N131" s="40"/>
      <c r="O131" s="40"/>
      <c r="P131" s="30"/>
      <c r="Q131" s="30"/>
      <c r="R131" s="30">
        <f>((11073111.11+7969068.06)/1000)/1000</f>
        <v>19.042179170000001</v>
      </c>
      <c r="S131" s="30"/>
      <c r="T131" s="161">
        <f t="shared" si="26"/>
        <v>19.042179170000001</v>
      </c>
      <c r="U131" s="298"/>
    </row>
    <row r="132" spans="1:21" s="1" customFormat="1" ht="38.25" customHeight="1" x14ac:dyDescent="0.25">
      <c r="A132" s="362"/>
      <c r="B132" s="32" t="s">
        <v>417</v>
      </c>
      <c r="C132" s="286"/>
      <c r="D132" s="286"/>
      <c r="E132" s="328"/>
      <c r="F132" s="286"/>
      <c r="G132" s="286"/>
      <c r="H132" s="286"/>
      <c r="I132" s="37"/>
      <c r="J132" s="38"/>
      <c r="K132" s="12"/>
      <c r="L132" s="14"/>
      <c r="M132" s="39"/>
      <c r="N132" s="40"/>
      <c r="O132" s="40"/>
      <c r="P132" s="30">
        <f>((49381234+78757981+84859284+88606784)/1000)/1000</f>
        <v>301.60528299999999</v>
      </c>
      <c r="Q132" s="30">
        <f>((137706708+139851287+140549318+140037834+139218456+141803370+570127786.4)/1000)/1000</f>
        <v>1409.2947594000002</v>
      </c>
      <c r="R132" s="30">
        <v>871.85308289</v>
      </c>
      <c r="S132" s="30"/>
      <c r="T132" s="161">
        <f t="shared" si="26"/>
        <v>2582.7531252899998</v>
      </c>
      <c r="U132" s="298"/>
    </row>
    <row r="133" spans="1:21" s="1" customFormat="1" ht="46.5" x14ac:dyDescent="0.25">
      <c r="A133" s="362"/>
      <c r="B133" s="32" t="s">
        <v>418</v>
      </c>
      <c r="C133" s="286"/>
      <c r="D133" s="286"/>
      <c r="E133" s="328"/>
      <c r="F133" s="286"/>
      <c r="G133" s="286"/>
      <c r="H133" s="286"/>
      <c r="I133" s="37"/>
      <c r="J133" s="38"/>
      <c r="K133" s="12"/>
      <c r="L133" s="14"/>
      <c r="M133" s="39"/>
      <c r="N133" s="40"/>
      <c r="O133" s="40"/>
      <c r="P133" s="30">
        <f>((24095459.78+8744067.6+8744067.6+8716396.5+10487346.9+10265978.1+12529438.9+12529438.9)/1000)/1000</f>
        <v>96.112194280000011</v>
      </c>
      <c r="Q133" s="30">
        <f>((19209360.6+19564191.8+19608545.7+19209360.6+19209360.6+19209360.6+84909852.2)/1000)/1000</f>
        <v>200.92003210000001</v>
      </c>
      <c r="R133" s="30">
        <v>44.547001999999999</v>
      </c>
      <c r="S133" s="30"/>
      <c r="T133" s="161">
        <f t="shared" si="26"/>
        <v>341.57922838000002</v>
      </c>
      <c r="U133" s="298"/>
    </row>
    <row r="134" spans="1:21" s="1" customFormat="1" ht="36.75" customHeight="1" x14ac:dyDescent="0.25">
      <c r="A134" s="362"/>
      <c r="B134" s="32" t="s">
        <v>419</v>
      </c>
      <c r="C134" s="286"/>
      <c r="D134" s="286"/>
      <c r="E134" s="328"/>
      <c r="F134" s="286"/>
      <c r="G134" s="286"/>
      <c r="H134" s="286"/>
      <c r="I134" s="37"/>
      <c r="J134" s="38"/>
      <c r="K134" s="12"/>
      <c r="L134" s="14"/>
      <c r="M134" s="39"/>
      <c r="N134" s="40"/>
      <c r="O134" s="40"/>
      <c r="P134" s="30"/>
      <c r="Q134" s="30">
        <v>2.95883436</v>
      </c>
      <c r="R134" s="30">
        <v>29.216777759999999</v>
      </c>
      <c r="S134" s="30"/>
      <c r="T134" s="161">
        <f t="shared" si="26"/>
        <v>32.175612119999997</v>
      </c>
      <c r="U134" s="298"/>
    </row>
    <row r="135" spans="1:21" s="1" customFormat="1" ht="38.25" customHeight="1" x14ac:dyDescent="0.25">
      <c r="A135" s="362"/>
      <c r="B135" s="32" t="s">
        <v>420</v>
      </c>
      <c r="C135" s="286"/>
      <c r="D135" s="286"/>
      <c r="E135" s="328"/>
      <c r="F135" s="286"/>
      <c r="G135" s="286"/>
      <c r="H135" s="286"/>
      <c r="I135" s="37"/>
      <c r="J135" s="38"/>
      <c r="K135" s="12"/>
      <c r="L135" s="14"/>
      <c r="M135" s="39"/>
      <c r="N135" s="40"/>
      <c r="O135" s="40"/>
      <c r="P135" s="30"/>
      <c r="Q135" s="30">
        <f>((38893383+38942802+39091062+39571550+39607259.8+39437000.4+153604459.4)/1000)/1000</f>
        <v>389.14751660000002</v>
      </c>
      <c r="R135" s="30">
        <v>200.62335569999999</v>
      </c>
      <c r="S135" s="30"/>
      <c r="T135" s="161">
        <f t="shared" si="26"/>
        <v>589.77087230000006</v>
      </c>
      <c r="U135" s="298"/>
    </row>
    <row r="136" spans="1:21" s="1" customFormat="1" ht="38.25" customHeight="1" x14ac:dyDescent="0.25">
      <c r="A136" s="362"/>
      <c r="B136" s="32" t="s">
        <v>421</v>
      </c>
      <c r="C136" s="286"/>
      <c r="D136" s="286"/>
      <c r="E136" s="328"/>
      <c r="F136" s="286"/>
      <c r="G136" s="286"/>
      <c r="H136" s="286"/>
      <c r="I136" s="37"/>
      <c r="J136" s="38"/>
      <c r="K136" s="12"/>
      <c r="L136" s="14"/>
      <c r="M136" s="39"/>
      <c r="N136" s="40"/>
      <c r="O136" s="40"/>
      <c r="P136" s="30"/>
      <c r="Q136" s="30">
        <v>394.96764091</v>
      </c>
      <c r="R136" s="30">
        <v>743.6414997899999</v>
      </c>
      <c r="S136" s="30"/>
      <c r="T136" s="161">
        <f t="shared" si="26"/>
        <v>1138.6091406999999</v>
      </c>
      <c r="U136" s="298"/>
    </row>
    <row r="137" spans="1:21" s="1" customFormat="1" ht="46.5" x14ac:dyDescent="0.25">
      <c r="A137" s="362"/>
      <c r="B137" s="32" t="s">
        <v>242</v>
      </c>
      <c r="C137" s="286"/>
      <c r="D137" s="286"/>
      <c r="E137" s="328"/>
      <c r="F137" s="286"/>
      <c r="G137" s="286"/>
      <c r="H137" s="286"/>
      <c r="I137" s="37"/>
      <c r="J137" s="38"/>
      <c r="K137" s="12"/>
      <c r="L137" s="14"/>
      <c r="M137" s="39"/>
      <c r="N137" s="40"/>
      <c r="O137" s="40"/>
      <c r="P137" s="30">
        <f>((4745198.9+2675927.1+2410545.9+2432661+2432661+3604761.3+3626876.4+3626876.4+3737451.9)/1000)/1000</f>
        <v>29.292959899999996</v>
      </c>
      <c r="Q137" s="30">
        <f>((6284942.4+8796724.4+8697884.8+8697884.8+8648465+3474412.9+35016047.3)/1000)/1000</f>
        <v>79.616361599999991</v>
      </c>
      <c r="R137" s="30">
        <v>50.7126065</v>
      </c>
      <c r="S137" s="30"/>
      <c r="T137" s="161">
        <f t="shared" si="26"/>
        <v>159.621928</v>
      </c>
      <c r="U137" s="298"/>
    </row>
    <row r="138" spans="1:21" s="1" customFormat="1" ht="36.75" customHeight="1" x14ac:dyDescent="0.25">
      <c r="A138" s="362"/>
      <c r="B138" s="32" t="s">
        <v>422</v>
      </c>
      <c r="C138" s="286"/>
      <c r="D138" s="286"/>
      <c r="E138" s="328"/>
      <c r="F138" s="286"/>
      <c r="G138" s="286"/>
      <c r="H138" s="286"/>
      <c r="I138" s="37"/>
      <c r="J138" s="38"/>
      <c r="K138" s="12"/>
      <c r="L138" s="14"/>
      <c r="M138" s="39"/>
      <c r="N138" s="40"/>
      <c r="O138" s="40"/>
      <c r="P138" s="30">
        <f>((7784912.34+5639350.5+5639350.5+5639350.5+5661465+7519100+7364295+7452755+7452755)/1000)/1000</f>
        <v>60.153333840000009</v>
      </c>
      <c r="Q138" s="30">
        <f>((11891396.7+11748557+11819976+11947386+11911677+11911677+59752362)/1000)/1000</f>
        <v>130.9830317</v>
      </c>
      <c r="R138" s="30">
        <v>93.56390300000001</v>
      </c>
      <c r="S138" s="30"/>
      <c r="T138" s="161">
        <f t="shared" si="26"/>
        <v>284.70026854000002</v>
      </c>
      <c r="U138" s="298"/>
    </row>
    <row r="139" spans="1:21" s="1" customFormat="1" ht="42" customHeight="1" x14ac:dyDescent="0.25">
      <c r="A139" s="362"/>
      <c r="B139" s="32" t="s">
        <v>423</v>
      </c>
      <c r="C139" s="286"/>
      <c r="D139" s="286"/>
      <c r="E139" s="328"/>
      <c r="F139" s="286"/>
      <c r="G139" s="286"/>
      <c r="H139" s="286"/>
      <c r="I139" s="37"/>
      <c r="J139" s="38"/>
      <c r="K139" s="12"/>
      <c r="L139" s="14"/>
      <c r="M139" s="39"/>
      <c r="N139" s="40"/>
      <c r="O139" s="40"/>
      <c r="P139" s="30">
        <f>((23013381+8310358+8165063+8133437+8003841+8578605+8692275+8869195)/1000)/1000</f>
        <v>81.766154999999998</v>
      </c>
      <c r="Q139" s="30">
        <f>((14767307+15243828+15624844+15803394+15803394+12434370+87786510.6+16344400)/1000)/1000</f>
        <v>193.80804759999998</v>
      </c>
      <c r="R139" s="30">
        <v>186.45579269999999</v>
      </c>
      <c r="S139" s="30"/>
      <c r="T139" s="161">
        <f t="shared" si="26"/>
        <v>462.0299953</v>
      </c>
      <c r="U139" s="298"/>
    </row>
    <row r="140" spans="1:21" s="1" customFormat="1" ht="42" customHeight="1" x14ac:dyDescent="0.25">
      <c r="A140" s="362"/>
      <c r="B140" s="32" t="s">
        <v>424</v>
      </c>
      <c r="C140" s="286"/>
      <c r="D140" s="286"/>
      <c r="E140" s="328"/>
      <c r="F140" s="286"/>
      <c r="G140" s="286"/>
      <c r="H140" s="286"/>
      <c r="I140" s="37"/>
      <c r="J140" s="38"/>
      <c r="K140" s="12"/>
      <c r="L140" s="14"/>
      <c r="M140" s="39"/>
      <c r="N140" s="40"/>
      <c r="O140" s="40"/>
      <c r="P140" s="30">
        <f>((33111535+33250942+49124682+44417887.17)/1000)/1000</f>
        <v>159.90504617000002</v>
      </c>
      <c r="Q140" s="30">
        <f>((78919583+84001830+84448862+85325545+85386924+85080031+360732118.9)/1000)/1000</f>
        <v>863.89489390000006</v>
      </c>
      <c r="R140" s="30">
        <v>546.94243770000003</v>
      </c>
      <c r="S140" s="30"/>
      <c r="T140" s="161">
        <f t="shared" si="26"/>
        <v>1570.7423777700001</v>
      </c>
      <c r="U140" s="298"/>
    </row>
    <row r="141" spans="1:21" s="1" customFormat="1" ht="34.5" customHeight="1" x14ac:dyDescent="0.25">
      <c r="A141" s="362"/>
      <c r="B141" s="32" t="s">
        <v>425</v>
      </c>
      <c r="C141" s="286"/>
      <c r="D141" s="286"/>
      <c r="E141" s="328"/>
      <c r="F141" s="286"/>
      <c r="G141" s="286"/>
      <c r="H141" s="286"/>
      <c r="I141" s="37"/>
      <c r="J141" s="38"/>
      <c r="K141" s="12"/>
      <c r="L141" s="14"/>
      <c r="M141" s="39"/>
      <c r="N141" s="40"/>
      <c r="O141" s="40"/>
      <c r="P141" s="30"/>
      <c r="Q141" s="30">
        <v>77.687925599999986</v>
      </c>
      <c r="R141" s="30">
        <v>116.1412268</v>
      </c>
      <c r="S141" s="30"/>
      <c r="T141" s="161">
        <f t="shared" si="26"/>
        <v>193.8291524</v>
      </c>
      <c r="U141" s="298"/>
    </row>
    <row r="142" spans="1:21" s="1" customFormat="1" ht="34.5" customHeight="1" x14ac:dyDescent="0.25">
      <c r="A142" s="362"/>
      <c r="B142" s="43" t="s">
        <v>426</v>
      </c>
      <c r="C142" s="286"/>
      <c r="D142" s="286"/>
      <c r="E142" s="328"/>
      <c r="F142" s="286"/>
      <c r="G142" s="286"/>
      <c r="H142" s="286"/>
      <c r="I142" s="44"/>
      <c r="J142" s="45"/>
      <c r="K142" s="46"/>
      <c r="L142" s="47"/>
      <c r="M142" s="48"/>
      <c r="N142" s="41"/>
      <c r="O142" s="41"/>
      <c r="P142" s="30">
        <f>451381357/1000000</f>
        <v>451.38135699999998</v>
      </c>
      <c r="Q142" s="30">
        <f>384044935.7/1000000</f>
        <v>384.0449357</v>
      </c>
      <c r="R142" s="30">
        <f>398296429.1/1000000</f>
        <v>398.29642910000001</v>
      </c>
      <c r="S142" s="30"/>
      <c r="T142" s="161">
        <f t="shared" si="26"/>
        <v>1233.7227218</v>
      </c>
      <c r="U142" s="298"/>
    </row>
    <row r="143" spans="1:21" s="1" customFormat="1" ht="46.5" x14ac:dyDescent="0.25">
      <c r="A143" s="362"/>
      <c r="B143" s="32" t="s">
        <v>427</v>
      </c>
      <c r="C143" s="286"/>
      <c r="D143" s="286"/>
      <c r="E143" s="328"/>
      <c r="F143" s="286"/>
      <c r="G143" s="286"/>
      <c r="H143" s="286"/>
      <c r="I143" s="37"/>
      <c r="J143" s="38"/>
      <c r="K143" s="12"/>
      <c r="L143" s="14"/>
      <c r="M143" s="39"/>
      <c r="N143" s="40"/>
      <c r="O143" s="40"/>
      <c r="P143" s="30">
        <f>((1789248.34+1944149.3)/1000)/1000</f>
        <v>3.7333976400000002</v>
      </c>
      <c r="Q143" s="30">
        <f>((2142594+2178303.9+2214013.8+2178303.9+2178303.9+2142594+6856300.8+6463491.9)/1000)/1000</f>
        <v>26.353906200000001</v>
      </c>
      <c r="R143" s="30">
        <v>26.3756433</v>
      </c>
      <c r="S143" s="30"/>
      <c r="T143" s="161">
        <f t="shared" si="26"/>
        <v>56.462947139999997</v>
      </c>
      <c r="U143" s="298"/>
    </row>
    <row r="144" spans="1:21" s="1" customFormat="1" ht="69.75" x14ac:dyDescent="0.25">
      <c r="A144" s="362"/>
      <c r="B144" s="43" t="s">
        <v>270</v>
      </c>
      <c r="C144" s="286"/>
      <c r="D144" s="286"/>
      <c r="E144" s="328"/>
      <c r="F144" s="286"/>
      <c r="G144" s="286"/>
      <c r="H144" s="286"/>
      <c r="I144" s="44"/>
      <c r="J144" s="45"/>
      <c r="K144" s="46"/>
      <c r="L144" s="47"/>
      <c r="M144" s="48"/>
      <c r="N144" s="41"/>
      <c r="O144" s="41"/>
      <c r="P144" s="30">
        <f>331361961/1000000</f>
        <v>331.36196100000001</v>
      </c>
      <c r="Q144" s="30">
        <f>(324387458+211581695)/1000000</f>
        <v>535.96915300000001</v>
      </c>
      <c r="R144" s="30">
        <f>211581695/1000000</f>
        <v>211.581695</v>
      </c>
      <c r="S144" s="30"/>
      <c r="T144" s="161">
        <f t="shared" si="26"/>
        <v>1078.9128090000002</v>
      </c>
      <c r="U144" s="298"/>
    </row>
    <row r="145" spans="1:21" s="1" customFormat="1" ht="46.5" x14ac:dyDescent="0.25">
      <c r="A145" s="362"/>
      <c r="B145" s="32" t="s">
        <v>241</v>
      </c>
      <c r="C145" s="286"/>
      <c r="D145" s="286"/>
      <c r="E145" s="328"/>
      <c r="F145" s="286"/>
      <c r="G145" s="286"/>
      <c r="H145" s="286"/>
      <c r="I145" s="37"/>
      <c r="J145" s="38"/>
      <c r="K145" s="12"/>
      <c r="L145" s="14"/>
      <c r="M145" s="39"/>
      <c r="N145" s="40"/>
      <c r="O145" s="40"/>
      <c r="P145" s="30">
        <f>((15317097.51+6048644.3+6026794.3+6026794.3+7474334+7689890.9+7796197.8+7752497.8)/1000)/1000</f>
        <v>64.132250909999982</v>
      </c>
      <c r="Q145" s="30">
        <f>((12763839.8+12882053.2+13141939.4+13106521.2+13106521.2+13106521.2+59161453.8+19799140.8)/1000)/1000</f>
        <v>157.06799060000003</v>
      </c>
      <c r="R145" s="30">
        <v>123.59253556</v>
      </c>
      <c r="S145" s="30"/>
      <c r="T145" s="161">
        <f t="shared" si="26"/>
        <v>344.79277707</v>
      </c>
      <c r="U145" s="298"/>
    </row>
    <row r="146" spans="1:21" s="1" customFormat="1" ht="39" customHeight="1" x14ac:dyDescent="0.25">
      <c r="A146" s="362"/>
      <c r="B146" s="32" t="s">
        <v>428</v>
      </c>
      <c r="C146" s="286"/>
      <c r="D146" s="286"/>
      <c r="E146" s="328"/>
      <c r="F146" s="286"/>
      <c r="G146" s="286"/>
      <c r="H146" s="286"/>
      <c r="I146" s="37"/>
      <c r="J146" s="38"/>
      <c r="K146" s="12"/>
      <c r="L146" s="14"/>
      <c r="M146" s="39"/>
      <c r="N146" s="40"/>
      <c r="O146" s="40"/>
      <c r="P146" s="30"/>
      <c r="Q146" s="30">
        <f>((4675202.4+4816875.2+4816875.2+4816875.2+4816875.2+24580230.8)/1000)/1000</f>
        <v>48.522933999999999</v>
      </c>
      <c r="R146" s="30">
        <v>39.341411999999998</v>
      </c>
      <c r="S146" s="30"/>
      <c r="T146" s="161">
        <f t="shared" si="26"/>
        <v>87.864345999999998</v>
      </c>
      <c r="U146" s="298"/>
    </row>
    <row r="147" spans="1:21" s="1" customFormat="1" ht="34.5" customHeight="1" x14ac:dyDescent="0.25">
      <c r="A147" s="362"/>
      <c r="B147" s="32" t="s">
        <v>429</v>
      </c>
      <c r="C147" s="286"/>
      <c r="D147" s="286"/>
      <c r="E147" s="328"/>
      <c r="F147" s="286"/>
      <c r="G147" s="286"/>
      <c r="H147" s="286"/>
      <c r="I147" s="37"/>
      <c r="J147" s="38"/>
      <c r="K147" s="12"/>
      <c r="L147" s="14"/>
      <c r="M147" s="39"/>
      <c r="N147" s="40"/>
      <c r="O147" s="40"/>
      <c r="P147" s="30"/>
      <c r="Q147" s="30">
        <f>((4036917.6+4036917.6+34986619.2+12929349.98)/1000)/1000</f>
        <v>55.98980438000001</v>
      </c>
      <c r="R147" s="30">
        <v>94.42766499999999</v>
      </c>
      <c r="S147" s="30"/>
      <c r="T147" s="161">
        <f t="shared" si="26"/>
        <v>150.41746938</v>
      </c>
      <c r="U147" s="298"/>
    </row>
    <row r="148" spans="1:21" s="1" customFormat="1" ht="33" customHeight="1" x14ac:dyDescent="0.25">
      <c r="A148" s="362"/>
      <c r="B148" s="282" t="s">
        <v>116</v>
      </c>
      <c r="C148" s="282"/>
      <c r="D148" s="282"/>
      <c r="E148" s="282"/>
      <c r="F148" s="282"/>
      <c r="G148" s="282"/>
      <c r="H148" s="282"/>
      <c r="I148" s="49"/>
      <c r="J148" s="50"/>
      <c r="K148" s="50"/>
      <c r="L148" s="18">
        <f t="shared" ref="L148" si="27">L114+L115+L116+L117+L118+L119+L120+L121+L122+L123+L124+L125+L126+L127+L128+L129+L130+L131+L132+L133+L134+L135+L136+L137+L138+L139+L140+L141+L142+L143+L144+L145+L146+L147</f>
        <v>0</v>
      </c>
      <c r="M148" s="18">
        <f>M114+M115+M116+M117+M118+M119+M120+M121+M122+M123+M124+M125+M126+M127+M128+M129+M130+M131+M132+M133+M134+M135+M136+M137+M138+M139+M140+M141+M142+M143+M144+M145+M146+M147</f>
        <v>0</v>
      </c>
      <c r="N148" s="18">
        <f t="shared" ref="N148:T148" si="28">N114+N115+N116+N117+N118+N119+N120+N121+N122+N123+N124+N125+N126+N127+N128+N129+N130+N131+N132+N133+N134+N135+N136+N137+N138+N139+N140+N141+N142+N143+N144+N145+N146+N147</f>
        <v>0</v>
      </c>
      <c r="O148" s="18">
        <f t="shared" si="28"/>
        <v>0</v>
      </c>
      <c r="P148" s="18">
        <f t="shared" si="28"/>
        <v>28276.573938739999</v>
      </c>
      <c r="Q148" s="18">
        <f t="shared" si="28"/>
        <v>88731.24413695003</v>
      </c>
      <c r="R148" s="18">
        <f t="shared" si="28"/>
        <v>171330.94179390007</v>
      </c>
      <c r="S148" s="18">
        <f t="shared" si="28"/>
        <v>0</v>
      </c>
      <c r="T148" s="18">
        <f t="shared" si="28"/>
        <v>288338.75986959017</v>
      </c>
      <c r="U148" s="20"/>
    </row>
    <row r="149" spans="1:21" ht="52.15" customHeight="1" x14ac:dyDescent="0.25">
      <c r="A149" s="325">
        <v>11</v>
      </c>
      <c r="B149" s="212" t="s">
        <v>243</v>
      </c>
      <c r="C149" s="292" t="s">
        <v>23</v>
      </c>
      <c r="D149" s="292" t="s">
        <v>264</v>
      </c>
      <c r="E149" s="314" t="s">
        <v>59</v>
      </c>
      <c r="F149" s="295" t="s">
        <v>218</v>
      </c>
      <c r="G149" s="295" t="s">
        <v>40</v>
      </c>
      <c r="H149" s="295" t="s">
        <v>398</v>
      </c>
      <c r="I149" s="217" t="s">
        <v>245</v>
      </c>
      <c r="J149" s="217">
        <v>258</v>
      </c>
      <c r="K149" s="217"/>
      <c r="L149" s="220"/>
      <c r="M149" s="220"/>
      <c r="N149" s="220"/>
      <c r="O149" s="220"/>
      <c r="P149" s="220"/>
      <c r="Q149" s="220"/>
      <c r="R149" s="220"/>
      <c r="S149" s="220"/>
      <c r="T149" s="221">
        <v>0</v>
      </c>
      <c r="U149" s="287" t="s">
        <v>71</v>
      </c>
    </row>
    <row r="150" spans="1:21" ht="37.9" customHeight="1" x14ac:dyDescent="0.25">
      <c r="A150" s="325"/>
      <c r="B150" s="212" t="s">
        <v>244</v>
      </c>
      <c r="C150" s="293"/>
      <c r="D150" s="293"/>
      <c r="E150" s="315"/>
      <c r="F150" s="296"/>
      <c r="G150" s="296"/>
      <c r="H150" s="296"/>
      <c r="I150" s="217" t="s">
        <v>245</v>
      </c>
      <c r="J150" s="217">
        <v>257</v>
      </c>
      <c r="K150" s="217"/>
      <c r="L150" s="220"/>
      <c r="M150" s="220"/>
      <c r="N150" s="220"/>
      <c r="O150" s="220"/>
      <c r="P150" s="220"/>
      <c r="Q150" s="220"/>
      <c r="R150" s="220"/>
      <c r="S150" s="220"/>
      <c r="T150" s="221">
        <v>0</v>
      </c>
      <c r="U150" s="288"/>
    </row>
    <row r="151" spans="1:21" ht="34.9" customHeight="1" x14ac:dyDescent="0.25">
      <c r="A151" s="325"/>
      <c r="B151" s="279" t="s">
        <v>118</v>
      </c>
      <c r="C151" s="293"/>
      <c r="D151" s="293"/>
      <c r="E151" s="315"/>
      <c r="F151" s="296"/>
      <c r="G151" s="296"/>
      <c r="H151" s="296"/>
      <c r="I151" s="217" t="s">
        <v>27</v>
      </c>
      <c r="J151" s="295">
        <v>261</v>
      </c>
      <c r="K151" s="295" t="s">
        <v>246</v>
      </c>
      <c r="L151" s="220"/>
      <c r="M151" s="220"/>
      <c r="N151" s="220"/>
      <c r="O151" s="220"/>
      <c r="P151" s="220">
        <v>1514.1110000000001</v>
      </c>
      <c r="Q151" s="220">
        <v>1527.278</v>
      </c>
      <c r="R151" s="220"/>
      <c r="S151" s="220"/>
      <c r="T151" s="221">
        <f>M151+N151+O151+P151+Q151+R151</f>
        <v>3041.3890000000001</v>
      </c>
      <c r="U151" s="288"/>
    </row>
    <row r="152" spans="1:21" ht="30" customHeight="1" x14ac:dyDescent="0.25">
      <c r="A152" s="325"/>
      <c r="B152" s="281"/>
      <c r="C152" s="293"/>
      <c r="D152" s="293"/>
      <c r="E152" s="315"/>
      <c r="F152" s="296"/>
      <c r="G152" s="296"/>
      <c r="H152" s="296"/>
      <c r="I152" s="217" t="s">
        <v>54</v>
      </c>
      <c r="J152" s="297"/>
      <c r="K152" s="297"/>
      <c r="L152" s="220"/>
      <c r="M152" s="220"/>
      <c r="N152" s="220">
        <v>114.854</v>
      </c>
      <c r="O152" s="220">
        <v>36.924999999999997</v>
      </c>
      <c r="P152" s="220">
        <v>45.552999999999997</v>
      </c>
      <c r="Q152" s="220"/>
      <c r="R152" s="220"/>
      <c r="S152" s="220"/>
      <c r="T152" s="221">
        <f>M152+N152+O152+P152+Q152+R152</f>
        <v>197.33199999999999</v>
      </c>
      <c r="U152" s="288"/>
    </row>
    <row r="153" spans="1:21" ht="30" customHeight="1" x14ac:dyDescent="0.25">
      <c r="A153" s="325"/>
      <c r="B153" s="279" t="s">
        <v>247</v>
      </c>
      <c r="C153" s="293"/>
      <c r="D153" s="293"/>
      <c r="E153" s="315"/>
      <c r="F153" s="296"/>
      <c r="G153" s="296"/>
      <c r="H153" s="296"/>
      <c r="I153" s="217" t="s">
        <v>27</v>
      </c>
      <c r="J153" s="295">
        <v>288</v>
      </c>
      <c r="K153" s="295" t="s">
        <v>248</v>
      </c>
      <c r="L153" s="220"/>
      <c r="M153" s="220"/>
      <c r="N153" s="220"/>
      <c r="O153" s="220"/>
      <c r="P153" s="220"/>
      <c r="Q153" s="220">
        <v>1913</v>
      </c>
      <c r="R153" s="220">
        <v>2981.2</v>
      </c>
      <c r="S153" s="220"/>
      <c r="T153" s="221">
        <f>M153+N153+O153+P153+Q153+R153</f>
        <v>4894.2</v>
      </c>
      <c r="U153" s="288"/>
    </row>
    <row r="154" spans="1:21" ht="28.15" customHeight="1" x14ac:dyDescent="0.25">
      <c r="A154" s="325"/>
      <c r="B154" s="281"/>
      <c r="C154" s="293"/>
      <c r="D154" s="293"/>
      <c r="E154" s="315"/>
      <c r="F154" s="296"/>
      <c r="G154" s="296"/>
      <c r="H154" s="296"/>
      <c r="I154" s="217" t="s">
        <v>54</v>
      </c>
      <c r="J154" s="297"/>
      <c r="K154" s="297"/>
      <c r="L154" s="220"/>
      <c r="M154" s="220"/>
      <c r="N154" s="220">
        <v>0</v>
      </c>
      <c r="O154" s="220">
        <v>0</v>
      </c>
      <c r="P154" s="220">
        <v>399.5</v>
      </c>
      <c r="Q154" s="220">
        <v>1061.2</v>
      </c>
      <c r="R154" s="220">
        <v>40.299999999999997</v>
      </c>
      <c r="S154" s="220"/>
      <c r="T154" s="221">
        <f>N154+O154+P154+Q154+R154</f>
        <v>1501</v>
      </c>
      <c r="U154" s="288"/>
    </row>
    <row r="155" spans="1:21" ht="35.450000000000003" customHeight="1" x14ac:dyDescent="0.25">
      <c r="A155" s="325"/>
      <c r="B155" s="279" t="s">
        <v>249</v>
      </c>
      <c r="C155" s="293"/>
      <c r="D155" s="293"/>
      <c r="E155" s="315"/>
      <c r="F155" s="296"/>
      <c r="G155" s="296"/>
      <c r="H155" s="296"/>
      <c r="I155" s="217" t="s">
        <v>27</v>
      </c>
      <c r="J155" s="295">
        <v>255</v>
      </c>
      <c r="K155" s="295" t="s">
        <v>60</v>
      </c>
      <c r="L155" s="220"/>
      <c r="M155" s="220"/>
      <c r="N155" s="220">
        <v>1244.0889999999999</v>
      </c>
      <c r="O155" s="220">
        <v>1529.0889999999999</v>
      </c>
      <c r="P155" s="220">
        <v>1202.396</v>
      </c>
      <c r="Q155" s="220">
        <v>1729.163</v>
      </c>
      <c r="R155" s="220">
        <v>2191.7420000000002</v>
      </c>
      <c r="S155" s="220"/>
      <c r="T155" s="221">
        <f>L155+M155+N155+O155+P155+Q155+R155</f>
        <v>7896.4789999999994</v>
      </c>
      <c r="U155" s="288"/>
    </row>
    <row r="156" spans="1:21" ht="29.45" customHeight="1" x14ac:dyDescent="0.25">
      <c r="A156" s="325"/>
      <c r="B156" s="281"/>
      <c r="C156" s="293"/>
      <c r="D156" s="293"/>
      <c r="E156" s="315"/>
      <c r="F156" s="296"/>
      <c r="G156" s="296"/>
      <c r="H156" s="296"/>
      <c r="I156" s="217" t="s">
        <v>54</v>
      </c>
      <c r="J156" s="297"/>
      <c r="K156" s="297"/>
      <c r="L156" s="220"/>
      <c r="M156" s="220"/>
      <c r="N156" s="220">
        <v>114</v>
      </c>
      <c r="O156" s="220">
        <v>384.78500000000003</v>
      </c>
      <c r="P156" s="220">
        <v>28</v>
      </c>
      <c r="Q156" s="220"/>
      <c r="R156" s="220"/>
      <c r="S156" s="220"/>
      <c r="T156" s="221">
        <f>L156+M156+N156+O156+P156+Q156+R156</f>
        <v>526.78500000000008</v>
      </c>
      <c r="U156" s="288"/>
    </row>
    <row r="157" spans="1:21" ht="26.45" customHeight="1" x14ac:dyDescent="0.25">
      <c r="A157" s="325"/>
      <c r="B157" s="279" t="s">
        <v>250</v>
      </c>
      <c r="C157" s="293"/>
      <c r="D157" s="293"/>
      <c r="E157" s="315"/>
      <c r="F157" s="296"/>
      <c r="G157" s="296"/>
      <c r="H157" s="296"/>
      <c r="I157" s="217" t="s">
        <v>27</v>
      </c>
      <c r="J157" s="295">
        <v>278</v>
      </c>
      <c r="K157" s="295" t="s">
        <v>251</v>
      </c>
      <c r="L157" s="220"/>
      <c r="M157" s="220"/>
      <c r="N157" s="220">
        <v>509.01299999999998</v>
      </c>
      <c r="O157" s="220">
        <v>21</v>
      </c>
      <c r="P157" s="220">
        <v>118.051</v>
      </c>
      <c r="Q157" s="220">
        <v>5798.9660000000003</v>
      </c>
      <c r="R157" s="220">
        <v>20</v>
      </c>
      <c r="S157" s="220"/>
      <c r="T157" s="221">
        <f>L157+M157+N157+O157+P157+Q157+R157</f>
        <v>6467.0300000000007</v>
      </c>
      <c r="U157" s="288"/>
    </row>
    <row r="158" spans="1:21" ht="28.15" customHeight="1" x14ac:dyDescent="0.25">
      <c r="A158" s="325"/>
      <c r="B158" s="280"/>
      <c r="C158" s="293"/>
      <c r="D158" s="293"/>
      <c r="E158" s="315"/>
      <c r="F158" s="296"/>
      <c r="G158" s="296"/>
      <c r="H158" s="296"/>
      <c r="I158" s="217" t="s">
        <v>54</v>
      </c>
      <c r="J158" s="296"/>
      <c r="K158" s="296"/>
      <c r="L158" s="220"/>
      <c r="M158" s="220"/>
      <c r="N158" s="220">
        <v>2061.7649999999999</v>
      </c>
      <c r="O158" s="220">
        <v>1169.7950000000001</v>
      </c>
      <c r="P158" s="220">
        <v>148.2578</v>
      </c>
      <c r="Q158" s="220">
        <v>1665.16</v>
      </c>
      <c r="R158" s="220">
        <v>2408.8690000000001</v>
      </c>
      <c r="S158" s="220"/>
      <c r="T158" s="221">
        <f>L158+M158+N158+O158+P158+Q158+R158</f>
        <v>7453.8467999999993</v>
      </c>
      <c r="U158" s="288"/>
    </row>
    <row r="159" spans="1:21" ht="30" customHeight="1" x14ac:dyDescent="0.25">
      <c r="A159" s="325"/>
      <c r="B159" s="281"/>
      <c r="C159" s="293"/>
      <c r="D159" s="293"/>
      <c r="E159" s="315"/>
      <c r="F159" s="296"/>
      <c r="G159" s="296"/>
      <c r="H159" s="296"/>
      <c r="I159" s="217" t="s">
        <v>28</v>
      </c>
      <c r="J159" s="297"/>
      <c r="K159" s="297"/>
      <c r="L159" s="220"/>
      <c r="M159" s="220"/>
      <c r="N159" s="220"/>
      <c r="O159" s="220"/>
      <c r="P159" s="220"/>
      <c r="Q159" s="220">
        <v>2149.0790000000002</v>
      </c>
      <c r="R159" s="220"/>
      <c r="S159" s="220"/>
      <c r="T159" s="221">
        <f>L159+M159+N159+O159+P159+Q159+R159</f>
        <v>2149.0790000000002</v>
      </c>
      <c r="U159" s="288"/>
    </row>
    <row r="160" spans="1:21" ht="28.15" customHeight="1" x14ac:dyDescent="0.25">
      <c r="A160" s="325"/>
      <c r="B160" s="279" t="s">
        <v>119</v>
      </c>
      <c r="C160" s="293"/>
      <c r="D160" s="293"/>
      <c r="E160" s="315"/>
      <c r="F160" s="296"/>
      <c r="G160" s="296"/>
      <c r="H160" s="296"/>
      <c r="I160" s="217" t="s">
        <v>27</v>
      </c>
      <c r="J160" s="295">
        <v>268</v>
      </c>
      <c r="K160" s="217"/>
      <c r="L160" s="220"/>
      <c r="M160" s="220"/>
      <c r="N160" s="220"/>
      <c r="O160" s="220"/>
      <c r="P160" s="220"/>
      <c r="Q160" s="220"/>
      <c r="R160" s="220"/>
      <c r="S160" s="220"/>
      <c r="T160" s="221">
        <v>0</v>
      </c>
      <c r="U160" s="288"/>
    </row>
    <row r="161" spans="1:21" ht="27" customHeight="1" x14ac:dyDescent="0.25">
      <c r="A161" s="325"/>
      <c r="B161" s="281"/>
      <c r="C161" s="293"/>
      <c r="D161" s="293"/>
      <c r="E161" s="315"/>
      <c r="F161" s="296"/>
      <c r="G161" s="296"/>
      <c r="H161" s="296"/>
      <c r="I161" s="217" t="s">
        <v>54</v>
      </c>
      <c r="J161" s="297"/>
      <c r="K161" s="217"/>
      <c r="L161" s="220"/>
      <c r="M161" s="220"/>
      <c r="N161" s="220"/>
      <c r="O161" s="220"/>
      <c r="P161" s="220"/>
      <c r="Q161" s="220"/>
      <c r="R161" s="220"/>
      <c r="S161" s="220"/>
      <c r="T161" s="221">
        <v>0</v>
      </c>
      <c r="U161" s="288"/>
    </row>
    <row r="162" spans="1:21" ht="31.15" customHeight="1" x14ac:dyDescent="0.25">
      <c r="A162" s="325"/>
      <c r="B162" s="279" t="s">
        <v>252</v>
      </c>
      <c r="C162" s="293"/>
      <c r="D162" s="293"/>
      <c r="E162" s="315"/>
      <c r="F162" s="296"/>
      <c r="G162" s="296"/>
      <c r="H162" s="296"/>
      <c r="I162" s="217" t="s">
        <v>27</v>
      </c>
      <c r="J162" s="295">
        <v>279</v>
      </c>
      <c r="K162" s="295" t="s">
        <v>253</v>
      </c>
      <c r="L162" s="220"/>
      <c r="M162" s="220"/>
      <c r="N162" s="220"/>
      <c r="O162" s="220">
        <v>400</v>
      </c>
      <c r="P162" s="220"/>
      <c r="Q162" s="220"/>
      <c r="R162" s="220"/>
      <c r="S162" s="220"/>
      <c r="T162" s="221">
        <f t="shared" ref="T162:T176" si="29">L162+M162+N162+O162+P162+Q162+R162</f>
        <v>400</v>
      </c>
      <c r="U162" s="288"/>
    </row>
    <row r="163" spans="1:21" ht="30" customHeight="1" x14ac:dyDescent="0.25">
      <c r="A163" s="325"/>
      <c r="B163" s="281"/>
      <c r="C163" s="293"/>
      <c r="D163" s="293"/>
      <c r="E163" s="315"/>
      <c r="F163" s="296"/>
      <c r="G163" s="296"/>
      <c r="H163" s="296"/>
      <c r="I163" s="217" t="s">
        <v>54</v>
      </c>
      <c r="J163" s="297"/>
      <c r="K163" s="297"/>
      <c r="L163" s="220"/>
      <c r="M163" s="220"/>
      <c r="N163" s="220"/>
      <c r="O163" s="220">
        <v>38.9</v>
      </c>
      <c r="P163" s="220">
        <v>1364.9</v>
      </c>
      <c r="Q163" s="220">
        <v>0.8</v>
      </c>
      <c r="R163" s="220">
        <v>780.6</v>
      </c>
      <c r="S163" s="220"/>
      <c r="T163" s="221">
        <f t="shared" si="29"/>
        <v>2185.2000000000003</v>
      </c>
      <c r="U163" s="288"/>
    </row>
    <row r="164" spans="1:21" ht="37.5" customHeight="1" x14ac:dyDescent="0.25">
      <c r="A164" s="325"/>
      <c r="B164" s="279" t="s">
        <v>410</v>
      </c>
      <c r="C164" s="293"/>
      <c r="D164" s="293"/>
      <c r="E164" s="315"/>
      <c r="F164" s="296"/>
      <c r="G164" s="296"/>
      <c r="H164" s="296"/>
      <c r="I164" s="213" t="s">
        <v>27</v>
      </c>
      <c r="J164" s="312">
        <v>261</v>
      </c>
      <c r="K164" s="309" t="s">
        <v>254</v>
      </c>
      <c r="L164" s="171"/>
      <c r="M164" s="30"/>
      <c r="N164" s="30">
        <v>14.228</v>
      </c>
      <c r="O164" s="218">
        <v>76.889200000000002</v>
      </c>
      <c r="P164" s="218">
        <v>138.255</v>
      </c>
      <c r="Q164" s="218">
        <v>308.98399999999998</v>
      </c>
      <c r="R164" s="171">
        <v>515.73099999999999</v>
      </c>
      <c r="S164" s="171"/>
      <c r="T164" s="170">
        <f t="shared" si="29"/>
        <v>1054.0871999999999</v>
      </c>
      <c r="U164" s="288"/>
    </row>
    <row r="165" spans="1:21" ht="42" customHeight="1" x14ac:dyDescent="0.25">
      <c r="A165" s="325"/>
      <c r="B165" s="281"/>
      <c r="C165" s="293"/>
      <c r="D165" s="293"/>
      <c r="E165" s="315"/>
      <c r="F165" s="296"/>
      <c r="G165" s="296"/>
      <c r="H165" s="296"/>
      <c r="I165" s="213" t="s">
        <v>54</v>
      </c>
      <c r="J165" s="313"/>
      <c r="K165" s="311"/>
      <c r="L165" s="171"/>
      <c r="M165" s="30"/>
      <c r="N165" s="30">
        <v>272.94499999999999</v>
      </c>
      <c r="O165" s="218">
        <v>291.7466</v>
      </c>
      <c r="P165" s="218">
        <v>407.57900000000001</v>
      </c>
      <c r="Q165" s="218">
        <v>499.2731</v>
      </c>
      <c r="R165" s="171">
        <v>529.64520000000005</v>
      </c>
      <c r="S165" s="171"/>
      <c r="T165" s="170">
        <f t="shared" si="29"/>
        <v>2001.1889000000001</v>
      </c>
      <c r="U165" s="288"/>
    </row>
    <row r="166" spans="1:21" ht="41.25" customHeight="1" x14ac:dyDescent="0.25">
      <c r="A166" s="325"/>
      <c r="B166" s="279" t="s">
        <v>409</v>
      </c>
      <c r="C166" s="293"/>
      <c r="D166" s="293"/>
      <c r="E166" s="315"/>
      <c r="F166" s="296"/>
      <c r="G166" s="296"/>
      <c r="H166" s="296"/>
      <c r="I166" s="213" t="s">
        <v>27</v>
      </c>
      <c r="J166" s="312">
        <v>261</v>
      </c>
      <c r="K166" s="317" t="s">
        <v>255</v>
      </c>
      <c r="L166" s="34"/>
      <c r="M166" s="30"/>
      <c r="N166" s="30">
        <v>30.716000000000001</v>
      </c>
      <c r="O166" s="218">
        <v>162.07900000000001</v>
      </c>
      <c r="P166" s="218">
        <v>204.04300000000001</v>
      </c>
      <c r="Q166" s="218">
        <v>322.96100000000001</v>
      </c>
      <c r="R166" s="171">
        <v>804.60299999999995</v>
      </c>
      <c r="S166" s="171"/>
      <c r="T166" s="170">
        <f t="shared" si="29"/>
        <v>1524.402</v>
      </c>
      <c r="U166" s="288"/>
    </row>
    <row r="167" spans="1:21" ht="34.5" customHeight="1" x14ac:dyDescent="0.25">
      <c r="A167" s="325"/>
      <c r="B167" s="281"/>
      <c r="C167" s="293"/>
      <c r="D167" s="293"/>
      <c r="E167" s="315"/>
      <c r="F167" s="296"/>
      <c r="G167" s="296"/>
      <c r="H167" s="296"/>
      <c r="I167" s="213" t="s">
        <v>54</v>
      </c>
      <c r="J167" s="313"/>
      <c r="K167" s="318"/>
      <c r="L167" s="34"/>
      <c r="M167" s="30"/>
      <c r="N167" s="30">
        <v>537.12400000000002</v>
      </c>
      <c r="O167" s="218">
        <v>532.1</v>
      </c>
      <c r="P167" s="218">
        <v>760.9</v>
      </c>
      <c r="Q167" s="218">
        <v>955.94200000000001</v>
      </c>
      <c r="R167" s="171">
        <v>818.45600000000002</v>
      </c>
      <c r="S167" s="171"/>
      <c r="T167" s="170">
        <f t="shared" si="29"/>
        <v>3604.5220000000004</v>
      </c>
      <c r="U167" s="288"/>
    </row>
    <row r="168" spans="1:21" ht="46.15" customHeight="1" x14ac:dyDescent="0.25">
      <c r="A168" s="325"/>
      <c r="B168" s="279" t="s">
        <v>408</v>
      </c>
      <c r="C168" s="293"/>
      <c r="D168" s="293"/>
      <c r="E168" s="315"/>
      <c r="F168" s="296"/>
      <c r="G168" s="296"/>
      <c r="H168" s="296"/>
      <c r="I168" s="213" t="s">
        <v>27</v>
      </c>
      <c r="J168" s="312">
        <v>261</v>
      </c>
      <c r="K168" s="317" t="s">
        <v>256</v>
      </c>
      <c r="L168" s="34"/>
      <c r="M168" s="30"/>
      <c r="N168" s="30">
        <v>36.402999999999999</v>
      </c>
      <c r="O168" s="218">
        <v>135.38</v>
      </c>
      <c r="P168" s="218">
        <v>189.17500000000001</v>
      </c>
      <c r="Q168" s="218">
        <v>304.87299999999999</v>
      </c>
      <c r="R168" s="171">
        <v>836.29600000000005</v>
      </c>
      <c r="S168" s="171"/>
      <c r="T168" s="170">
        <f t="shared" si="29"/>
        <v>1502.127</v>
      </c>
      <c r="U168" s="288"/>
    </row>
    <row r="169" spans="1:21" ht="52.15" customHeight="1" x14ac:dyDescent="0.25">
      <c r="A169" s="325"/>
      <c r="B169" s="281"/>
      <c r="C169" s="293"/>
      <c r="D169" s="293"/>
      <c r="E169" s="315"/>
      <c r="F169" s="296"/>
      <c r="G169" s="296"/>
      <c r="H169" s="296"/>
      <c r="I169" s="213" t="s">
        <v>54</v>
      </c>
      <c r="J169" s="313"/>
      <c r="K169" s="318"/>
      <c r="L169" s="34"/>
      <c r="M169" s="30"/>
      <c r="N169" s="30">
        <v>455.99299999999999</v>
      </c>
      <c r="O169" s="218">
        <v>518.74699999999996</v>
      </c>
      <c r="P169" s="218">
        <v>814.42499999999995</v>
      </c>
      <c r="Q169" s="218">
        <v>991.096</v>
      </c>
      <c r="R169" s="171">
        <v>849.41</v>
      </c>
      <c r="S169" s="171"/>
      <c r="T169" s="170">
        <f t="shared" si="29"/>
        <v>3629.6709999999998</v>
      </c>
      <c r="U169" s="288"/>
    </row>
    <row r="170" spans="1:21" ht="48" customHeight="1" x14ac:dyDescent="0.25">
      <c r="A170" s="325"/>
      <c r="B170" s="279" t="s">
        <v>407</v>
      </c>
      <c r="C170" s="293"/>
      <c r="D170" s="293"/>
      <c r="E170" s="315"/>
      <c r="F170" s="296"/>
      <c r="G170" s="296"/>
      <c r="H170" s="296"/>
      <c r="I170" s="213" t="s">
        <v>27</v>
      </c>
      <c r="J170" s="312">
        <v>261</v>
      </c>
      <c r="K170" s="317" t="s">
        <v>256</v>
      </c>
      <c r="L170" s="34"/>
      <c r="M170" s="30"/>
      <c r="N170" s="30">
        <v>36.171999999999997</v>
      </c>
      <c r="O170" s="218">
        <v>209.93700000000001</v>
      </c>
      <c r="P170" s="218">
        <v>251.11770000000001</v>
      </c>
      <c r="Q170" s="218">
        <v>403.41300000000001</v>
      </c>
      <c r="R170" s="171">
        <v>868.21</v>
      </c>
      <c r="S170" s="171"/>
      <c r="T170" s="170">
        <f t="shared" si="29"/>
        <v>1768.8497000000002</v>
      </c>
      <c r="U170" s="288"/>
    </row>
    <row r="171" spans="1:21" ht="41.45" customHeight="1" x14ac:dyDescent="0.25">
      <c r="A171" s="325"/>
      <c r="B171" s="281"/>
      <c r="C171" s="293"/>
      <c r="D171" s="293"/>
      <c r="E171" s="315"/>
      <c r="F171" s="296"/>
      <c r="G171" s="296"/>
      <c r="H171" s="296"/>
      <c r="I171" s="213" t="s">
        <v>54</v>
      </c>
      <c r="J171" s="313"/>
      <c r="K171" s="318"/>
      <c r="L171" s="34"/>
      <c r="M171" s="30"/>
      <c r="N171" s="30">
        <v>497.54379999999998</v>
      </c>
      <c r="O171" s="218">
        <v>523.07899999999995</v>
      </c>
      <c r="P171" s="218">
        <v>781.81460000000004</v>
      </c>
      <c r="Q171" s="218">
        <v>1226.9801</v>
      </c>
      <c r="R171" s="171">
        <v>848.91800000000001</v>
      </c>
      <c r="S171" s="171"/>
      <c r="T171" s="170">
        <f t="shared" si="29"/>
        <v>3878.3354999999997</v>
      </c>
      <c r="U171" s="288"/>
    </row>
    <row r="172" spans="1:21" ht="42.6" customHeight="1" x14ac:dyDescent="0.25">
      <c r="A172" s="325"/>
      <c r="B172" s="279" t="s">
        <v>406</v>
      </c>
      <c r="C172" s="293"/>
      <c r="D172" s="293"/>
      <c r="E172" s="315"/>
      <c r="F172" s="296"/>
      <c r="G172" s="296"/>
      <c r="H172" s="296"/>
      <c r="I172" s="213" t="s">
        <v>27</v>
      </c>
      <c r="J172" s="312">
        <v>472</v>
      </c>
      <c r="K172" s="317" t="s">
        <v>265</v>
      </c>
      <c r="L172" s="34"/>
      <c r="M172" s="30"/>
      <c r="N172" s="30">
        <v>299.10000000000002</v>
      </c>
      <c r="O172" s="218">
        <v>757.9</v>
      </c>
      <c r="P172" s="218">
        <v>674</v>
      </c>
      <c r="Q172" s="218">
        <v>3603.1</v>
      </c>
      <c r="R172" s="171">
        <v>649.5</v>
      </c>
      <c r="S172" s="171"/>
      <c r="T172" s="170">
        <f t="shared" si="29"/>
        <v>5983.6</v>
      </c>
      <c r="U172" s="288"/>
    </row>
    <row r="173" spans="1:21" ht="36.6" customHeight="1" x14ac:dyDescent="0.25">
      <c r="A173" s="325"/>
      <c r="B173" s="281"/>
      <c r="C173" s="293"/>
      <c r="D173" s="293"/>
      <c r="E173" s="315"/>
      <c r="F173" s="296"/>
      <c r="G173" s="296"/>
      <c r="H173" s="296"/>
      <c r="I173" s="213" t="s">
        <v>54</v>
      </c>
      <c r="J173" s="313"/>
      <c r="K173" s="318"/>
      <c r="L173" s="34"/>
      <c r="M173" s="30"/>
      <c r="N173" s="30"/>
      <c r="O173" s="218">
        <v>151.1</v>
      </c>
      <c r="P173" s="218">
        <v>1249.1000000000001</v>
      </c>
      <c r="Q173" s="218">
        <v>194</v>
      </c>
      <c r="R173" s="171">
        <v>490.6</v>
      </c>
      <c r="S173" s="171"/>
      <c r="T173" s="170">
        <f t="shared" si="29"/>
        <v>2084.8000000000002</v>
      </c>
      <c r="U173" s="288"/>
    </row>
    <row r="174" spans="1:21" ht="28.5" customHeight="1" x14ac:dyDescent="0.25">
      <c r="A174" s="325"/>
      <c r="B174" s="279" t="s">
        <v>405</v>
      </c>
      <c r="C174" s="293"/>
      <c r="D174" s="293"/>
      <c r="E174" s="315"/>
      <c r="F174" s="296"/>
      <c r="G174" s="296"/>
      <c r="H174" s="296"/>
      <c r="I174" s="213" t="s">
        <v>27</v>
      </c>
      <c r="J174" s="312">
        <v>467</v>
      </c>
      <c r="K174" s="334" t="s">
        <v>266</v>
      </c>
      <c r="L174" s="34"/>
      <c r="M174" s="30"/>
      <c r="N174" s="30"/>
      <c r="O174" s="218">
        <v>408.7</v>
      </c>
      <c r="P174" s="218"/>
      <c r="Q174" s="218">
        <v>100.7</v>
      </c>
      <c r="R174" s="171">
        <v>331.8</v>
      </c>
      <c r="S174" s="171"/>
      <c r="T174" s="170">
        <f t="shared" si="29"/>
        <v>841.2</v>
      </c>
      <c r="U174" s="288"/>
    </row>
    <row r="175" spans="1:21" ht="27" customHeight="1" x14ac:dyDescent="0.25">
      <c r="A175" s="325"/>
      <c r="B175" s="281"/>
      <c r="C175" s="293"/>
      <c r="D175" s="293"/>
      <c r="E175" s="315"/>
      <c r="F175" s="296"/>
      <c r="G175" s="296"/>
      <c r="H175" s="296"/>
      <c r="I175" s="213" t="s">
        <v>54</v>
      </c>
      <c r="J175" s="313"/>
      <c r="K175" s="335"/>
      <c r="L175" s="34"/>
      <c r="M175" s="30"/>
      <c r="N175" s="30"/>
      <c r="O175" s="218">
        <v>133.4</v>
      </c>
      <c r="P175" s="218">
        <v>699.2</v>
      </c>
      <c r="Q175" s="218"/>
      <c r="R175" s="171"/>
      <c r="S175" s="171"/>
      <c r="T175" s="170">
        <f t="shared" si="29"/>
        <v>832.6</v>
      </c>
      <c r="U175" s="288"/>
    </row>
    <row r="176" spans="1:21" ht="25.9" customHeight="1" x14ac:dyDescent="0.25">
      <c r="A176" s="325"/>
      <c r="B176" s="279" t="s">
        <v>404</v>
      </c>
      <c r="C176" s="293"/>
      <c r="D176" s="293"/>
      <c r="E176" s="315"/>
      <c r="F176" s="296"/>
      <c r="G176" s="296"/>
      <c r="H176" s="296"/>
      <c r="I176" s="213" t="s">
        <v>27</v>
      </c>
      <c r="J176" s="312">
        <v>458</v>
      </c>
      <c r="K176" s="309" t="s">
        <v>260</v>
      </c>
      <c r="L176" s="171"/>
      <c r="M176" s="30"/>
      <c r="N176" s="30"/>
      <c r="O176" s="218"/>
      <c r="P176" s="218"/>
      <c r="Q176" s="218"/>
      <c r="R176" s="171"/>
      <c r="S176" s="171"/>
      <c r="T176" s="170">
        <f t="shared" si="29"/>
        <v>0</v>
      </c>
      <c r="U176" s="288"/>
    </row>
    <row r="177" spans="1:21" ht="27.6" customHeight="1" x14ac:dyDescent="0.25">
      <c r="A177" s="325"/>
      <c r="B177" s="280"/>
      <c r="C177" s="293"/>
      <c r="D177" s="293"/>
      <c r="E177" s="315"/>
      <c r="F177" s="296"/>
      <c r="G177" s="296"/>
      <c r="H177" s="296"/>
      <c r="I177" s="213" t="s">
        <v>54</v>
      </c>
      <c r="J177" s="319"/>
      <c r="K177" s="310"/>
      <c r="L177" s="171"/>
      <c r="M177" s="30"/>
      <c r="N177" s="30"/>
      <c r="O177" s="218"/>
      <c r="P177" s="218">
        <v>134.17599999999999</v>
      </c>
      <c r="Q177" s="218"/>
      <c r="R177" s="171"/>
      <c r="S177" s="171"/>
      <c r="T177" s="170">
        <f t="shared" ref="T177:T178" si="30">L177+M177+N177+O177+P177+Q177+R177</f>
        <v>134.17599999999999</v>
      </c>
      <c r="U177" s="288"/>
    </row>
    <row r="178" spans="1:21" ht="23.45" customHeight="1" x14ac:dyDescent="0.25">
      <c r="A178" s="325"/>
      <c r="B178" s="281"/>
      <c r="C178" s="293"/>
      <c r="D178" s="293"/>
      <c r="E178" s="315"/>
      <c r="F178" s="296"/>
      <c r="G178" s="296"/>
      <c r="H178" s="296"/>
      <c r="I178" s="213" t="s">
        <v>28</v>
      </c>
      <c r="J178" s="313"/>
      <c r="K178" s="311"/>
      <c r="L178" s="171"/>
      <c r="M178" s="30"/>
      <c r="N178" s="30"/>
      <c r="O178" s="218"/>
      <c r="P178" s="218"/>
      <c r="Q178" s="218">
        <v>600</v>
      </c>
      <c r="R178" s="171">
        <v>3638.3980000000001</v>
      </c>
      <c r="S178" s="171"/>
      <c r="T178" s="170">
        <f t="shared" si="30"/>
        <v>4238.3980000000001</v>
      </c>
      <c r="U178" s="288"/>
    </row>
    <row r="179" spans="1:21" ht="31.9" customHeight="1" x14ac:dyDescent="0.25">
      <c r="A179" s="325"/>
      <c r="B179" s="279" t="s">
        <v>403</v>
      </c>
      <c r="C179" s="293"/>
      <c r="D179" s="293"/>
      <c r="E179" s="315"/>
      <c r="F179" s="296"/>
      <c r="G179" s="296"/>
      <c r="H179" s="296"/>
      <c r="I179" s="213" t="s">
        <v>27</v>
      </c>
      <c r="J179" s="312">
        <v>485</v>
      </c>
      <c r="K179" s="309" t="s">
        <v>261</v>
      </c>
      <c r="L179" s="171"/>
      <c r="M179" s="30"/>
      <c r="N179" s="30"/>
      <c r="O179" s="218">
        <v>192.07400000000001</v>
      </c>
      <c r="P179" s="218">
        <v>274.64699999999999</v>
      </c>
      <c r="Q179" s="218"/>
      <c r="R179" s="171">
        <v>364.90899999999999</v>
      </c>
      <c r="S179" s="171"/>
      <c r="T179" s="170">
        <f>L179+M179+N179+O179+P179+Q179+R179</f>
        <v>831.63</v>
      </c>
      <c r="U179" s="288"/>
    </row>
    <row r="180" spans="1:21" ht="31.9" customHeight="1" x14ac:dyDescent="0.25">
      <c r="A180" s="325"/>
      <c r="B180" s="280"/>
      <c r="C180" s="293"/>
      <c r="D180" s="293"/>
      <c r="E180" s="315"/>
      <c r="F180" s="296"/>
      <c r="G180" s="296"/>
      <c r="H180" s="296"/>
      <c r="I180" s="213" t="s">
        <v>54</v>
      </c>
      <c r="J180" s="319"/>
      <c r="K180" s="310"/>
      <c r="L180" s="171"/>
      <c r="M180" s="30"/>
      <c r="N180" s="30"/>
      <c r="O180" s="218"/>
      <c r="P180" s="218"/>
      <c r="Q180" s="218"/>
      <c r="R180" s="171"/>
      <c r="S180" s="171"/>
      <c r="T180" s="170">
        <f t="shared" ref="T180:T181" si="31">L180+M180+N180+O180+P180+Q180+R180</f>
        <v>0</v>
      </c>
      <c r="U180" s="288"/>
    </row>
    <row r="181" spans="1:21" ht="31.9" customHeight="1" x14ac:dyDescent="0.25">
      <c r="A181" s="325"/>
      <c r="B181" s="281"/>
      <c r="C181" s="293"/>
      <c r="D181" s="293"/>
      <c r="E181" s="315"/>
      <c r="F181" s="296"/>
      <c r="G181" s="296"/>
      <c r="H181" s="296"/>
      <c r="I181" s="213" t="s">
        <v>28</v>
      </c>
      <c r="J181" s="313"/>
      <c r="K181" s="311"/>
      <c r="L181" s="171"/>
      <c r="M181" s="30"/>
      <c r="N181" s="30"/>
      <c r="O181" s="218"/>
      <c r="P181" s="218"/>
      <c r="Q181" s="218"/>
      <c r="R181" s="171">
        <v>351.57100000000003</v>
      </c>
      <c r="S181" s="171"/>
      <c r="T181" s="170">
        <f t="shared" si="31"/>
        <v>351.57100000000003</v>
      </c>
      <c r="U181" s="288"/>
    </row>
    <row r="182" spans="1:21" ht="29.45" customHeight="1" x14ac:dyDescent="0.25">
      <c r="A182" s="325"/>
      <c r="B182" s="279" t="s">
        <v>402</v>
      </c>
      <c r="C182" s="293"/>
      <c r="D182" s="293"/>
      <c r="E182" s="315"/>
      <c r="F182" s="296"/>
      <c r="G182" s="296"/>
      <c r="H182" s="296"/>
      <c r="I182" s="213" t="s">
        <v>27</v>
      </c>
      <c r="J182" s="312">
        <v>485</v>
      </c>
      <c r="K182" s="309" t="s">
        <v>262</v>
      </c>
      <c r="L182" s="171"/>
      <c r="M182" s="30"/>
      <c r="N182" s="30"/>
      <c r="O182" s="218"/>
      <c r="P182" s="218"/>
      <c r="Q182" s="218"/>
      <c r="R182" s="171"/>
      <c r="S182" s="171"/>
      <c r="T182" s="170">
        <f>L182+M182+N182+O182+P182+Q182+R182</f>
        <v>0</v>
      </c>
      <c r="U182" s="288"/>
    </row>
    <row r="183" spans="1:21" ht="25.9" customHeight="1" x14ac:dyDescent="0.25">
      <c r="A183" s="325"/>
      <c r="B183" s="280"/>
      <c r="C183" s="293"/>
      <c r="D183" s="293"/>
      <c r="E183" s="315"/>
      <c r="F183" s="296"/>
      <c r="G183" s="296"/>
      <c r="H183" s="296"/>
      <c r="I183" s="213" t="s">
        <v>54</v>
      </c>
      <c r="J183" s="319"/>
      <c r="K183" s="310"/>
      <c r="L183" s="171"/>
      <c r="M183" s="30"/>
      <c r="N183" s="30"/>
      <c r="O183" s="218"/>
      <c r="P183" s="218"/>
      <c r="Q183" s="218"/>
      <c r="R183" s="171"/>
      <c r="S183" s="171"/>
      <c r="T183" s="170">
        <f t="shared" ref="T183:T184" si="32">L183+M183+N183+O183+P183+Q183+R183</f>
        <v>0</v>
      </c>
      <c r="U183" s="288"/>
    </row>
    <row r="184" spans="1:21" ht="29.45" customHeight="1" x14ac:dyDescent="0.25">
      <c r="A184" s="325"/>
      <c r="B184" s="281"/>
      <c r="C184" s="293"/>
      <c r="D184" s="293"/>
      <c r="E184" s="315"/>
      <c r="F184" s="296"/>
      <c r="G184" s="296"/>
      <c r="H184" s="296"/>
      <c r="I184" s="213" t="s">
        <v>28</v>
      </c>
      <c r="J184" s="313"/>
      <c r="K184" s="311"/>
      <c r="L184" s="171"/>
      <c r="M184" s="30"/>
      <c r="N184" s="30"/>
      <c r="O184" s="218"/>
      <c r="P184" s="218"/>
      <c r="Q184" s="218">
        <v>176.78100000000001</v>
      </c>
      <c r="R184" s="171">
        <v>150</v>
      </c>
      <c r="S184" s="171"/>
      <c r="T184" s="170">
        <f t="shared" si="32"/>
        <v>326.78100000000001</v>
      </c>
      <c r="U184" s="288"/>
    </row>
    <row r="185" spans="1:21" ht="29.45" customHeight="1" x14ac:dyDescent="0.25">
      <c r="A185" s="325"/>
      <c r="B185" s="279" t="s">
        <v>267</v>
      </c>
      <c r="C185" s="293"/>
      <c r="D185" s="293"/>
      <c r="E185" s="315"/>
      <c r="F185" s="296"/>
      <c r="G185" s="296"/>
      <c r="H185" s="296"/>
      <c r="I185" s="213" t="s">
        <v>27</v>
      </c>
      <c r="J185" s="312">
        <v>467</v>
      </c>
      <c r="K185" s="309" t="s">
        <v>263</v>
      </c>
      <c r="L185" s="171"/>
      <c r="M185" s="30"/>
      <c r="N185" s="30">
        <v>99</v>
      </c>
      <c r="O185" s="218">
        <v>611.80000000000007</v>
      </c>
      <c r="P185" s="218">
        <v>530.70000000000005</v>
      </c>
      <c r="Q185" s="218"/>
      <c r="R185" s="171"/>
      <c r="S185" s="171"/>
      <c r="T185" s="170">
        <f>L185+M185+N185+O185+P185+Q185+R185</f>
        <v>1241.5</v>
      </c>
      <c r="U185" s="288"/>
    </row>
    <row r="186" spans="1:21" ht="29.45" customHeight="1" x14ac:dyDescent="0.25">
      <c r="A186" s="325"/>
      <c r="B186" s="281"/>
      <c r="C186" s="293"/>
      <c r="D186" s="293"/>
      <c r="E186" s="315"/>
      <c r="F186" s="296"/>
      <c r="G186" s="296"/>
      <c r="H186" s="296"/>
      <c r="I186" s="213" t="s">
        <v>54</v>
      </c>
      <c r="J186" s="313"/>
      <c r="K186" s="311"/>
      <c r="L186" s="171"/>
      <c r="M186" s="30"/>
      <c r="N186" s="30"/>
      <c r="O186" s="218"/>
      <c r="P186" s="218">
        <v>180.2</v>
      </c>
      <c r="Q186" s="218"/>
      <c r="R186" s="171"/>
      <c r="S186" s="171"/>
      <c r="T186" s="170">
        <f>L186+M186+N186+O186+P186+Q186+R186</f>
        <v>180.2</v>
      </c>
      <c r="U186" s="288"/>
    </row>
    <row r="187" spans="1:21" ht="31.9" customHeight="1" x14ac:dyDescent="0.25">
      <c r="A187" s="325"/>
      <c r="B187" s="42" t="s">
        <v>57</v>
      </c>
      <c r="C187" s="293"/>
      <c r="D187" s="293"/>
      <c r="E187" s="315"/>
      <c r="F187" s="296"/>
      <c r="G187" s="296"/>
      <c r="H187" s="296"/>
      <c r="I187" s="213"/>
      <c r="J187" s="214"/>
      <c r="K187" s="31"/>
      <c r="L187" s="171"/>
      <c r="M187" s="30"/>
      <c r="N187" s="30"/>
      <c r="O187" s="218"/>
      <c r="P187" s="218"/>
      <c r="Q187" s="218"/>
      <c r="R187" s="171"/>
      <c r="S187" s="171"/>
      <c r="T187" s="170"/>
      <c r="U187" s="288"/>
    </row>
    <row r="188" spans="1:21" ht="47.45" customHeight="1" x14ac:dyDescent="0.25">
      <c r="A188" s="325"/>
      <c r="B188" s="212" t="s">
        <v>399</v>
      </c>
      <c r="C188" s="293"/>
      <c r="D188" s="293"/>
      <c r="E188" s="315"/>
      <c r="F188" s="296"/>
      <c r="G188" s="296"/>
      <c r="H188" s="296"/>
      <c r="I188" s="213" t="s">
        <v>245</v>
      </c>
      <c r="J188" s="214"/>
      <c r="K188" s="31" t="s">
        <v>257</v>
      </c>
      <c r="L188" s="171"/>
      <c r="M188" s="30"/>
      <c r="N188" s="30"/>
      <c r="O188" s="218"/>
      <c r="P188" s="218"/>
      <c r="Q188" s="218"/>
      <c r="R188" s="171"/>
      <c r="S188" s="171"/>
      <c r="T188" s="170">
        <v>0</v>
      </c>
      <c r="U188" s="288"/>
    </row>
    <row r="189" spans="1:21" ht="47.45" customHeight="1" x14ac:dyDescent="0.25">
      <c r="A189" s="325"/>
      <c r="B189" s="212" t="s">
        <v>400</v>
      </c>
      <c r="C189" s="293"/>
      <c r="D189" s="293"/>
      <c r="E189" s="315"/>
      <c r="F189" s="296"/>
      <c r="G189" s="296"/>
      <c r="H189" s="296"/>
      <c r="I189" s="213" t="s">
        <v>245</v>
      </c>
      <c r="J189" s="214"/>
      <c r="K189" s="31" t="s">
        <v>258</v>
      </c>
      <c r="L189" s="171"/>
      <c r="M189" s="30"/>
      <c r="N189" s="30"/>
      <c r="O189" s="218"/>
      <c r="P189" s="218"/>
      <c r="Q189" s="218"/>
      <c r="R189" s="171"/>
      <c r="S189" s="171"/>
      <c r="T189" s="170">
        <v>0</v>
      </c>
      <c r="U189" s="288"/>
    </row>
    <row r="190" spans="1:21" ht="55.15" customHeight="1" x14ac:dyDescent="0.25">
      <c r="A190" s="325"/>
      <c r="B190" s="212" t="s">
        <v>401</v>
      </c>
      <c r="C190" s="294"/>
      <c r="D190" s="294"/>
      <c r="E190" s="316"/>
      <c r="F190" s="297"/>
      <c r="G190" s="297"/>
      <c r="H190" s="297"/>
      <c r="I190" s="213" t="s">
        <v>245</v>
      </c>
      <c r="J190" s="214"/>
      <c r="K190" s="31" t="s">
        <v>259</v>
      </c>
      <c r="L190" s="171"/>
      <c r="M190" s="30"/>
      <c r="N190" s="30"/>
      <c r="O190" s="218"/>
      <c r="P190" s="218"/>
      <c r="Q190" s="218"/>
      <c r="R190" s="171"/>
      <c r="S190" s="171"/>
      <c r="T190" s="170">
        <v>0</v>
      </c>
      <c r="U190" s="289"/>
    </row>
    <row r="191" spans="1:21" ht="41.25" customHeight="1" x14ac:dyDescent="0.25">
      <c r="A191" s="325"/>
      <c r="B191" s="135" t="s">
        <v>116</v>
      </c>
      <c r="C191" s="152"/>
      <c r="D191" s="16"/>
      <c r="E191" s="16"/>
      <c r="F191" s="16"/>
      <c r="G191" s="16"/>
      <c r="H191" s="16"/>
      <c r="I191" s="93"/>
      <c r="J191" s="93"/>
      <c r="K191" s="93"/>
      <c r="L191" s="18">
        <f t="shared" ref="L191" si="33">L149+L150+L151+L152+L153+L154+L155+L156+L157+L158+L159+L160+L161+L162+L163+L164+L165+L166+L167+L168+L169+L170+L171+L172+L173+L174+L175+L176+L177+L178+L179+L180+L181+L182+L183+L184+L185+L186+L188+L189+L190</f>
        <v>0</v>
      </c>
      <c r="M191" s="18">
        <f>M149+M150+M151+M152+M153+M154+M155+M156+M157+M158+M159+M160+M161+M162+M163+M164+M165+M166+M167+M168+M169+M170+M171+M172+M173+M174+M175+M176+M177+M178+M179+M180+M181+M182+M183+M184+M185+M186+M187+M188+M189+M190</f>
        <v>0</v>
      </c>
      <c r="N191" s="18">
        <f t="shared" ref="N191:T191" si="34">N149+N150+N151+N152+N153+N154+N155+N156+N157+N158+N159+N160+N161+N162+N163+N164+N165+N166+N167+N168+N169+N170+N171+N172+N173+N174+N175+N176+N177+N178+N179+N180+N181+N182+N183+N184+N185+N186+N187+N188+N189+N190</f>
        <v>6322.9458000000004</v>
      </c>
      <c r="O191" s="18">
        <f t="shared" si="34"/>
        <v>8285.4257999999991</v>
      </c>
      <c r="P191" s="18">
        <f t="shared" si="34"/>
        <v>12110.101100000002</v>
      </c>
      <c r="Q191" s="18">
        <f t="shared" si="34"/>
        <v>25532.749199999998</v>
      </c>
      <c r="R191" s="18">
        <f t="shared" si="34"/>
        <v>20470.7582</v>
      </c>
      <c r="S191" s="18">
        <f t="shared" si="34"/>
        <v>0</v>
      </c>
      <c r="T191" s="18">
        <f t="shared" si="34"/>
        <v>72721.980100000001</v>
      </c>
      <c r="U191" s="20"/>
    </row>
    <row r="192" spans="1:21" ht="29.25" customHeight="1" x14ac:dyDescent="0.25">
      <c r="A192" s="432">
        <v>12</v>
      </c>
      <c r="B192" s="264" t="s">
        <v>61</v>
      </c>
      <c r="C192" s="274" t="s">
        <v>44</v>
      </c>
      <c r="D192" s="274" t="s">
        <v>24</v>
      </c>
      <c r="E192" s="304" t="s">
        <v>528</v>
      </c>
      <c r="F192" s="274" t="s">
        <v>482</v>
      </c>
      <c r="G192" s="274" t="s">
        <v>530</v>
      </c>
      <c r="H192" s="274" t="s">
        <v>529</v>
      </c>
      <c r="I192" s="263" t="s">
        <v>27</v>
      </c>
      <c r="J192" s="263">
        <v>225</v>
      </c>
      <c r="K192" s="263" t="s">
        <v>531</v>
      </c>
      <c r="L192" s="14"/>
      <c r="N192" s="14">
        <v>21630.799999999999</v>
      </c>
      <c r="O192" s="14">
        <v>26120.7</v>
      </c>
      <c r="P192" s="14">
        <v>21895</v>
      </c>
      <c r="Q192" s="14">
        <v>12433.5</v>
      </c>
      <c r="R192" s="14"/>
      <c r="S192" s="14"/>
      <c r="T192" s="15">
        <f>L192+M192+N192+O192+P192+Q192+R192+S192</f>
        <v>82080</v>
      </c>
      <c r="U192" s="428"/>
    </row>
    <row r="193" spans="1:23" ht="52.9" customHeight="1" x14ac:dyDescent="0.25">
      <c r="A193" s="441"/>
      <c r="B193" s="264" t="s">
        <v>518</v>
      </c>
      <c r="C193" s="275"/>
      <c r="D193" s="275"/>
      <c r="E193" s="305"/>
      <c r="F193" s="275"/>
      <c r="G193" s="275"/>
      <c r="H193" s="275"/>
      <c r="I193" s="274" t="s">
        <v>27</v>
      </c>
      <c r="J193" s="274">
        <v>225</v>
      </c>
      <c r="K193" s="274" t="s">
        <v>532</v>
      </c>
      <c r="L193" s="422"/>
      <c r="M193" s="422"/>
      <c r="N193" s="425">
        <v>29197.9</v>
      </c>
      <c r="O193" s="425">
        <v>29336.3</v>
      </c>
      <c r="P193" s="425">
        <v>33463.699999999997</v>
      </c>
      <c r="Q193" s="425">
        <v>35442.699999999997</v>
      </c>
      <c r="R193" s="422"/>
      <c r="S193" s="422"/>
      <c r="T193" s="422">
        <f>L193+M193+N193+O193+P193+Q193+R193+S193</f>
        <v>127440.59999999999</v>
      </c>
      <c r="U193" s="429"/>
    </row>
    <row r="194" spans="1:23" ht="30" customHeight="1" x14ac:dyDescent="0.25">
      <c r="A194" s="441"/>
      <c r="B194" s="264" t="s">
        <v>519</v>
      </c>
      <c r="C194" s="275"/>
      <c r="D194" s="275"/>
      <c r="E194" s="305"/>
      <c r="F194" s="275"/>
      <c r="G194" s="275"/>
      <c r="H194" s="275"/>
      <c r="I194" s="275"/>
      <c r="J194" s="275"/>
      <c r="K194" s="275"/>
      <c r="L194" s="423"/>
      <c r="M194" s="423"/>
      <c r="N194" s="426"/>
      <c r="O194" s="426"/>
      <c r="P194" s="426"/>
      <c r="Q194" s="426"/>
      <c r="R194" s="423"/>
      <c r="S194" s="423"/>
      <c r="T194" s="423"/>
      <c r="U194" s="429"/>
    </row>
    <row r="195" spans="1:23" ht="52.9" customHeight="1" x14ac:dyDescent="0.25">
      <c r="A195" s="441"/>
      <c r="B195" s="264" t="s">
        <v>520</v>
      </c>
      <c r="C195" s="275"/>
      <c r="D195" s="275"/>
      <c r="E195" s="305"/>
      <c r="F195" s="275"/>
      <c r="G195" s="275"/>
      <c r="H195" s="275"/>
      <c r="I195" s="275"/>
      <c r="J195" s="275"/>
      <c r="K195" s="275"/>
      <c r="L195" s="423"/>
      <c r="M195" s="423"/>
      <c r="N195" s="426"/>
      <c r="O195" s="426"/>
      <c r="P195" s="426"/>
      <c r="Q195" s="426"/>
      <c r="R195" s="423"/>
      <c r="S195" s="423"/>
      <c r="T195" s="423"/>
      <c r="U195" s="429"/>
    </row>
    <row r="196" spans="1:23" ht="52.9" customHeight="1" x14ac:dyDescent="0.25">
      <c r="A196" s="441"/>
      <c r="B196" s="264" t="s">
        <v>521</v>
      </c>
      <c r="C196" s="275"/>
      <c r="D196" s="275"/>
      <c r="E196" s="305"/>
      <c r="F196" s="275"/>
      <c r="G196" s="275"/>
      <c r="H196" s="275"/>
      <c r="I196" s="275"/>
      <c r="J196" s="275"/>
      <c r="K196" s="275"/>
      <c r="L196" s="423"/>
      <c r="M196" s="423"/>
      <c r="N196" s="426"/>
      <c r="O196" s="426"/>
      <c r="P196" s="426"/>
      <c r="Q196" s="426"/>
      <c r="R196" s="423"/>
      <c r="S196" s="423"/>
      <c r="T196" s="423"/>
      <c r="U196" s="429"/>
    </row>
    <row r="197" spans="1:23" ht="52.9" customHeight="1" x14ac:dyDescent="0.25">
      <c r="A197" s="441"/>
      <c r="B197" s="264" t="s">
        <v>522</v>
      </c>
      <c r="C197" s="275"/>
      <c r="D197" s="275"/>
      <c r="E197" s="305"/>
      <c r="F197" s="275"/>
      <c r="G197" s="275"/>
      <c r="H197" s="275"/>
      <c r="I197" s="275"/>
      <c r="J197" s="275"/>
      <c r="K197" s="275"/>
      <c r="L197" s="423"/>
      <c r="M197" s="423"/>
      <c r="N197" s="426"/>
      <c r="O197" s="426"/>
      <c r="P197" s="426"/>
      <c r="Q197" s="426"/>
      <c r="R197" s="423"/>
      <c r="S197" s="423"/>
      <c r="T197" s="423"/>
      <c r="U197" s="429"/>
    </row>
    <row r="198" spans="1:23" ht="52.9" customHeight="1" x14ac:dyDescent="0.25">
      <c r="A198" s="441"/>
      <c r="B198" s="264" t="s">
        <v>523</v>
      </c>
      <c r="C198" s="275"/>
      <c r="D198" s="275"/>
      <c r="E198" s="305"/>
      <c r="F198" s="275"/>
      <c r="G198" s="275"/>
      <c r="H198" s="275"/>
      <c r="I198" s="275"/>
      <c r="J198" s="275"/>
      <c r="K198" s="275"/>
      <c r="L198" s="423"/>
      <c r="M198" s="423"/>
      <c r="N198" s="426"/>
      <c r="O198" s="426"/>
      <c r="P198" s="426"/>
      <c r="Q198" s="426"/>
      <c r="R198" s="423"/>
      <c r="S198" s="423"/>
      <c r="T198" s="423"/>
      <c r="U198" s="429"/>
    </row>
    <row r="199" spans="1:23" ht="52.9" customHeight="1" x14ac:dyDescent="0.25">
      <c r="A199" s="441"/>
      <c r="B199" s="264" t="s">
        <v>524</v>
      </c>
      <c r="C199" s="275"/>
      <c r="D199" s="275"/>
      <c r="E199" s="305"/>
      <c r="F199" s="275"/>
      <c r="G199" s="275"/>
      <c r="H199" s="275"/>
      <c r="I199" s="275"/>
      <c r="J199" s="275"/>
      <c r="K199" s="275"/>
      <c r="L199" s="423"/>
      <c r="M199" s="423"/>
      <c r="N199" s="426"/>
      <c r="O199" s="426"/>
      <c r="P199" s="426"/>
      <c r="Q199" s="426"/>
      <c r="R199" s="423"/>
      <c r="S199" s="423"/>
      <c r="T199" s="423"/>
      <c r="U199" s="429"/>
    </row>
    <row r="200" spans="1:23" ht="52.9" customHeight="1" x14ac:dyDescent="0.25">
      <c r="A200" s="441"/>
      <c r="B200" s="264" t="s">
        <v>525</v>
      </c>
      <c r="C200" s="275"/>
      <c r="D200" s="275"/>
      <c r="E200" s="305"/>
      <c r="F200" s="275"/>
      <c r="G200" s="275"/>
      <c r="H200" s="275"/>
      <c r="I200" s="275"/>
      <c r="J200" s="275"/>
      <c r="K200" s="275"/>
      <c r="L200" s="423"/>
      <c r="M200" s="423"/>
      <c r="N200" s="426"/>
      <c r="O200" s="426"/>
      <c r="P200" s="426"/>
      <c r="Q200" s="426"/>
      <c r="R200" s="423"/>
      <c r="S200" s="423"/>
      <c r="T200" s="423"/>
      <c r="U200" s="429"/>
    </row>
    <row r="201" spans="1:23" ht="52.9" customHeight="1" x14ac:dyDescent="0.25">
      <c r="A201" s="441"/>
      <c r="B201" s="264" t="s">
        <v>526</v>
      </c>
      <c r="C201" s="275"/>
      <c r="D201" s="275"/>
      <c r="E201" s="305"/>
      <c r="F201" s="275"/>
      <c r="G201" s="275"/>
      <c r="H201" s="275"/>
      <c r="I201" s="275"/>
      <c r="J201" s="275"/>
      <c r="K201" s="275"/>
      <c r="L201" s="423"/>
      <c r="M201" s="423"/>
      <c r="N201" s="426"/>
      <c r="O201" s="426"/>
      <c r="P201" s="426"/>
      <c r="Q201" s="426"/>
      <c r="R201" s="423"/>
      <c r="S201" s="423"/>
      <c r="T201" s="423"/>
      <c r="U201" s="429"/>
    </row>
    <row r="202" spans="1:23" ht="52.9" customHeight="1" x14ac:dyDescent="0.25">
      <c r="A202" s="441"/>
      <c r="B202" s="264" t="s">
        <v>527</v>
      </c>
      <c r="C202" s="276"/>
      <c r="D202" s="276"/>
      <c r="E202" s="306"/>
      <c r="F202" s="276"/>
      <c r="G202" s="276"/>
      <c r="H202" s="276"/>
      <c r="I202" s="276"/>
      <c r="J202" s="276"/>
      <c r="K202" s="276"/>
      <c r="L202" s="424"/>
      <c r="M202" s="424"/>
      <c r="N202" s="427"/>
      <c r="O202" s="427"/>
      <c r="P202" s="427"/>
      <c r="Q202" s="427"/>
      <c r="R202" s="424"/>
      <c r="S202" s="424"/>
      <c r="T202" s="424"/>
      <c r="U202" s="430"/>
    </row>
    <row r="203" spans="1:23" ht="29.25" customHeight="1" x14ac:dyDescent="0.25">
      <c r="A203" s="433"/>
      <c r="B203" s="223" t="s">
        <v>116</v>
      </c>
      <c r="C203" s="224"/>
      <c r="D203" s="16"/>
      <c r="E203" s="16"/>
      <c r="F203" s="16"/>
      <c r="G203" s="16"/>
      <c r="H203" s="16"/>
      <c r="I203" s="224"/>
      <c r="J203" s="224"/>
      <c r="K203" s="224"/>
      <c r="L203" s="18">
        <f>L192+L193</f>
        <v>0</v>
      </c>
      <c r="M203" s="18">
        <f t="shared" ref="M203:T203" si="35">M192+M193</f>
        <v>0</v>
      </c>
      <c r="N203" s="18">
        <f t="shared" si="35"/>
        <v>50828.7</v>
      </c>
      <c r="O203" s="18">
        <f t="shared" si="35"/>
        <v>55457</v>
      </c>
      <c r="P203" s="18">
        <f t="shared" si="35"/>
        <v>55358.7</v>
      </c>
      <c r="Q203" s="18">
        <f t="shared" si="35"/>
        <v>47876.2</v>
      </c>
      <c r="R203" s="18">
        <f t="shared" si="35"/>
        <v>0</v>
      </c>
      <c r="S203" s="18">
        <f t="shared" si="35"/>
        <v>0</v>
      </c>
      <c r="T203" s="18">
        <f t="shared" si="35"/>
        <v>209520.59999999998</v>
      </c>
      <c r="U203" s="225"/>
    </row>
    <row r="204" spans="1:23" ht="105" customHeight="1" x14ac:dyDescent="0.25">
      <c r="A204" s="292">
        <v>13</v>
      </c>
      <c r="B204" s="27" t="s">
        <v>441</v>
      </c>
      <c r="C204" s="259" t="s">
        <v>82</v>
      </c>
      <c r="D204" s="259" t="s">
        <v>24</v>
      </c>
      <c r="E204" s="261" t="s">
        <v>442</v>
      </c>
      <c r="F204" s="262"/>
      <c r="G204" s="262" t="s">
        <v>42</v>
      </c>
      <c r="H204" s="262" t="s">
        <v>42</v>
      </c>
      <c r="I204" s="263"/>
      <c r="J204" s="28"/>
      <c r="K204" s="232"/>
      <c r="L204" s="25"/>
      <c r="M204" s="25"/>
      <c r="N204" s="25"/>
      <c r="O204" s="25"/>
      <c r="P204" s="25"/>
      <c r="Q204" s="25"/>
      <c r="R204" s="25"/>
      <c r="S204" s="25"/>
      <c r="T204" s="62">
        <f>L204++M204+N204+O204++P204+Q204+R204+S204</f>
        <v>0</v>
      </c>
      <c r="U204" s="260"/>
    </row>
    <row r="205" spans="1:23" ht="30" customHeight="1" x14ac:dyDescent="0.25">
      <c r="A205" s="293"/>
      <c r="B205" s="135" t="s">
        <v>116</v>
      </c>
      <c r="C205" s="152"/>
      <c r="D205" s="16"/>
      <c r="E205" s="16"/>
      <c r="F205" s="16"/>
      <c r="G205" s="16"/>
      <c r="H205" s="16"/>
      <c r="I205" s="16"/>
      <c r="J205" s="16"/>
      <c r="K205" s="16"/>
      <c r="L205" s="18">
        <f>L204</f>
        <v>0</v>
      </c>
      <c r="M205" s="18">
        <f t="shared" ref="M205:T205" si="36">M204</f>
        <v>0</v>
      </c>
      <c r="N205" s="18">
        <f t="shared" si="36"/>
        <v>0</v>
      </c>
      <c r="O205" s="18">
        <f t="shared" si="36"/>
        <v>0</v>
      </c>
      <c r="P205" s="18">
        <f t="shared" si="36"/>
        <v>0</v>
      </c>
      <c r="Q205" s="18">
        <f t="shared" si="36"/>
        <v>0</v>
      </c>
      <c r="R205" s="18">
        <f t="shared" si="36"/>
        <v>0</v>
      </c>
      <c r="S205" s="18">
        <f t="shared" si="36"/>
        <v>0</v>
      </c>
      <c r="T205" s="18">
        <f t="shared" si="36"/>
        <v>0</v>
      </c>
      <c r="U205" s="20"/>
    </row>
    <row r="206" spans="1:23" s="11" customFormat="1" ht="37.15" customHeight="1" x14ac:dyDescent="0.25">
      <c r="A206" s="294"/>
      <c r="B206" s="320" t="s">
        <v>97</v>
      </c>
      <c r="C206" s="320"/>
      <c r="D206" s="320"/>
      <c r="E206" s="320"/>
      <c r="F206" s="320"/>
      <c r="G206" s="320"/>
      <c r="H206" s="320"/>
      <c r="I206" s="247"/>
      <c r="J206" s="247"/>
      <c r="K206" s="247"/>
      <c r="L206" s="248">
        <f>L205+L203++L191+L148</f>
        <v>0</v>
      </c>
      <c r="M206" s="248">
        <f t="shared" ref="M206:T206" si="37">M205+M203++M191+M148</f>
        <v>0</v>
      </c>
      <c r="N206" s="248">
        <f t="shared" si="37"/>
        <v>57151.645799999998</v>
      </c>
      <c r="O206" s="248">
        <f t="shared" si="37"/>
        <v>63742.425799999997</v>
      </c>
      <c r="P206" s="248">
        <f t="shared" si="37"/>
        <v>95745.375038739992</v>
      </c>
      <c r="Q206" s="248">
        <f t="shared" si="37"/>
        <v>162140.19333695003</v>
      </c>
      <c r="R206" s="248">
        <f t="shared" si="37"/>
        <v>191801.69999390008</v>
      </c>
      <c r="S206" s="248">
        <f t="shared" si="37"/>
        <v>0</v>
      </c>
      <c r="T206" s="248">
        <f t="shared" si="37"/>
        <v>570581.33996959007</v>
      </c>
      <c r="U206" s="249"/>
    </row>
    <row r="207" spans="1:23" s="11" customFormat="1" ht="27" customHeight="1" x14ac:dyDescent="0.25">
      <c r="A207" s="344" t="s">
        <v>117</v>
      </c>
      <c r="B207" s="344"/>
      <c r="C207" s="344"/>
      <c r="D207" s="344"/>
      <c r="E207" s="344"/>
      <c r="F207" s="344"/>
      <c r="G207" s="344"/>
      <c r="H207" s="344"/>
      <c r="I207" s="344"/>
      <c r="J207" s="344"/>
      <c r="K207" s="344"/>
      <c r="L207" s="344"/>
      <c r="M207" s="344"/>
      <c r="N207" s="344"/>
      <c r="O207" s="344"/>
      <c r="P207" s="344"/>
      <c r="Q207" s="344"/>
      <c r="R207" s="344"/>
      <c r="S207" s="344"/>
      <c r="T207" s="344"/>
      <c r="U207" s="344"/>
    </row>
    <row r="208" spans="1:23" s="1" customFormat="1" ht="142.9" customHeight="1" x14ac:dyDescent="0.4">
      <c r="A208" s="437">
        <v>14</v>
      </c>
      <c r="B208" s="121" t="s">
        <v>195</v>
      </c>
      <c r="C208" s="106" t="s">
        <v>44</v>
      </c>
      <c r="D208" s="106" t="s">
        <v>24</v>
      </c>
      <c r="E208" s="107" t="s">
        <v>196</v>
      </c>
      <c r="F208" s="105" t="s">
        <v>26</v>
      </c>
      <c r="G208" s="105" t="s">
        <v>193</v>
      </c>
      <c r="H208" s="105" t="s">
        <v>30</v>
      </c>
      <c r="I208" s="102" t="s">
        <v>39</v>
      </c>
      <c r="J208" s="103"/>
      <c r="K208" s="103"/>
      <c r="L208" s="52"/>
      <c r="M208" s="52">
        <v>0</v>
      </c>
      <c r="N208" s="53">
        <v>0</v>
      </c>
      <c r="O208" s="53">
        <v>0</v>
      </c>
      <c r="P208" s="53">
        <v>953.572</v>
      </c>
      <c r="Q208" s="53">
        <v>3147.4205000000002</v>
      </c>
      <c r="R208" s="53">
        <v>19838.4359</v>
      </c>
      <c r="S208" s="53">
        <v>0</v>
      </c>
      <c r="T208" s="52">
        <f>SUM(M208:S208)</f>
        <v>23939.428400000001</v>
      </c>
      <c r="U208" s="104"/>
      <c r="W208" s="125"/>
    </row>
    <row r="209" spans="1:21" s="1" customFormat="1" ht="34.9" customHeight="1" x14ac:dyDescent="0.25">
      <c r="A209" s="437"/>
      <c r="B209" s="135" t="s">
        <v>116</v>
      </c>
      <c r="C209" s="152"/>
      <c r="D209" s="16"/>
      <c r="E209" s="16"/>
      <c r="F209" s="16"/>
      <c r="G209" s="16"/>
      <c r="H209" s="16"/>
      <c r="I209" s="16"/>
      <c r="J209" s="16"/>
      <c r="K209" s="16"/>
      <c r="L209" s="18">
        <f t="shared" ref="L209" si="38">SUM(L208)</f>
        <v>0</v>
      </c>
      <c r="M209" s="18">
        <f>M208</f>
        <v>0</v>
      </c>
      <c r="N209" s="18">
        <f t="shared" ref="N209:T209" si="39">N208</f>
        <v>0</v>
      </c>
      <c r="O209" s="18">
        <f t="shared" si="39"/>
        <v>0</v>
      </c>
      <c r="P209" s="18">
        <f t="shared" si="39"/>
        <v>953.572</v>
      </c>
      <c r="Q209" s="18">
        <f t="shared" si="39"/>
        <v>3147.4205000000002</v>
      </c>
      <c r="R209" s="18">
        <f t="shared" si="39"/>
        <v>19838.4359</v>
      </c>
      <c r="S209" s="18">
        <f t="shared" si="39"/>
        <v>0</v>
      </c>
      <c r="T209" s="18">
        <f t="shared" si="39"/>
        <v>23939.428400000001</v>
      </c>
      <c r="U209" s="20"/>
    </row>
    <row r="210" spans="1:21" s="1" customFormat="1" ht="37.9" customHeight="1" x14ac:dyDescent="0.25">
      <c r="A210" s="431">
        <v>15</v>
      </c>
      <c r="B210" s="299" t="s">
        <v>453</v>
      </c>
      <c r="C210" s="421" t="s">
        <v>44</v>
      </c>
      <c r="D210" s="421" t="s">
        <v>24</v>
      </c>
      <c r="E210" s="376" t="s">
        <v>62</v>
      </c>
      <c r="F210" s="291" t="s">
        <v>234</v>
      </c>
      <c r="G210" s="291" t="s">
        <v>235</v>
      </c>
      <c r="H210" s="291" t="s">
        <v>307</v>
      </c>
      <c r="I210" s="179" t="s">
        <v>27</v>
      </c>
      <c r="J210" s="180">
        <v>223</v>
      </c>
      <c r="K210" s="180" t="s">
        <v>223</v>
      </c>
      <c r="L210" s="181"/>
      <c r="M210" s="181"/>
      <c r="N210" s="182">
        <v>0</v>
      </c>
      <c r="O210" s="182">
        <v>0</v>
      </c>
      <c r="P210" s="182">
        <v>0</v>
      </c>
      <c r="Q210" s="182">
        <v>124.3</v>
      </c>
      <c r="R210" s="182">
        <v>110.9</v>
      </c>
      <c r="S210" s="182">
        <v>0</v>
      </c>
      <c r="T210" s="181">
        <f>L210+M210+N210+O210+P210+Q210+R210</f>
        <v>235.2</v>
      </c>
      <c r="U210" s="307"/>
    </row>
    <row r="211" spans="1:21" s="1" customFormat="1" ht="31.9" customHeight="1" x14ac:dyDescent="0.25">
      <c r="A211" s="431"/>
      <c r="B211" s="300"/>
      <c r="C211" s="421"/>
      <c r="D211" s="421"/>
      <c r="E211" s="376"/>
      <c r="F211" s="291"/>
      <c r="G211" s="291"/>
      <c r="H211" s="291"/>
      <c r="I211" s="179" t="s">
        <v>27</v>
      </c>
      <c r="J211" s="180"/>
      <c r="K211" s="180" t="s">
        <v>46</v>
      </c>
      <c r="L211" s="181"/>
      <c r="M211" s="181"/>
      <c r="N211" s="182">
        <v>263.7</v>
      </c>
      <c r="O211" s="182">
        <v>216.3</v>
      </c>
      <c r="P211" s="182">
        <v>0</v>
      </c>
      <c r="Q211" s="182">
        <v>0</v>
      </c>
      <c r="R211" s="182">
        <v>0</v>
      </c>
      <c r="S211" s="182">
        <v>0</v>
      </c>
      <c r="T211" s="181">
        <f t="shared" ref="T211:T227" si="40">L211+M211+N211+O211+P211+Q211+R211</f>
        <v>480</v>
      </c>
      <c r="U211" s="308"/>
    </row>
    <row r="212" spans="1:21" s="1" customFormat="1" ht="28.9" customHeight="1" x14ac:dyDescent="0.25">
      <c r="A212" s="431"/>
      <c r="B212" s="300"/>
      <c r="C212" s="421"/>
      <c r="D212" s="421"/>
      <c r="E212" s="376"/>
      <c r="F212" s="291"/>
      <c r="G212" s="291"/>
      <c r="H212" s="291"/>
      <c r="I212" s="179" t="s">
        <v>27</v>
      </c>
      <c r="J212" s="180"/>
      <c r="K212" s="180" t="s">
        <v>224</v>
      </c>
      <c r="L212" s="181"/>
      <c r="M212" s="181"/>
      <c r="N212" s="182">
        <v>707.8</v>
      </c>
      <c r="O212" s="182">
        <v>356.2</v>
      </c>
      <c r="P212" s="182">
        <v>711</v>
      </c>
      <c r="Q212" s="182">
        <v>617.4</v>
      </c>
      <c r="R212" s="182">
        <v>565.9</v>
      </c>
      <c r="S212" s="182">
        <v>0</v>
      </c>
      <c r="T212" s="181">
        <f t="shared" si="40"/>
        <v>2958.3</v>
      </c>
      <c r="U212" s="308"/>
    </row>
    <row r="213" spans="1:21" s="1" customFormat="1" ht="28.9" customHeight="1" x14ac:dyDescent="0.25">
      <c r="A213" s="431"/>
      <c r="B213" s="300"/>
      <c r="C213" s="421"/>
      <c r="D213" s="421"/>
      <c r="E213" s="376"/>
      <c r="F213" s="291"/>
      <c r="G213" s="291"/>
      <c r="H213" s="291"/>
      <c r="I213" s="179" t="s">
        <v>27</v>
      </c>
      <c r="J213" s="180"/>
      <c r="K213" s="180" t="s">
        <v>225</v>
      </c>
      <c r="L213" s="181"/>
      <c r="M213" s="181"/>
      <c r="N213" s="182">
        <v>0</v>
      </c>
      <c r="O213" s="182">
        <v>0</v>
      </c>
      <c r="P213" s="182">
        <v>2700</v>
      </c>
      <c r="Q213" s="182">
        <v>62.9</v>
      </c>
      <c r="R213" s="182">
        <v>0</v>
      </c>
      <c r="S213" s="182">
        <v>0</v>
      </c>
      <c r="T213" s="181">
        <f t="shared" si="40"/>
        <v>2762.9</v>
      </c>
      <c r="U213" s="308"/>
    </row>
    <row r="214" spans="1:21" s="1" customFormat="1" ht="25.9" customHeight="1" x14ac:dyDescent="0.25">
      <c r="A214" s="431"/>
      <c r="B214" s="300"/>
      <c r="C214" s="421"/>
      <c r="D214" s="421"/>
      <c r="E214" s="376"/>
      <c r="F214" s="291"/>
      <c r="G214" s="291"/>
      <c r="H214" s="291"/>
      <c r="I214" s="179" t="s">
        <v>27</v>
      </c>
      <c r="J214" s="180"/>
      <c r="K214" s="180" t="s">
        <v>226</v>
      </c>
      <c r="L214" s="181"/>
      <c r="M214" s="181"/>
      <c r="N214" s="182">
        <v>2329.5</v>
      </c>
      <c r="O214" s="182">
        <v>614.9</v>
      </c>
      <c r="P214" s="182">
        <v>1234.9000000000001</v>
      </c>
      <c r="Q214" s="182">
        <v>251.5</v>
      </c>
      <c r="R214" s="182">
        <v>240.7</v>
      </c>
      <c r="S214" s="182">
        <v>0</v>
      </c>
      <c r="T214" s="181">
        <f t="shared" si="40"/>
        <v>4671.5</v>
      </c>
      <c r="U214" s="308"/>
    </row>
    <row r="215" spans="1:21" s="1" customFormat="1" ht="28.9" customHeight="1" x14ac:dyDescent="0.25">
      <c r="A215" s="431"/>
      <c r="B215" s="300"/>
      <c r="C215" s="421"/>
      <c r="D215" s="421"/>
      <c r="E215" s="376"/>
      <c r="F215" s="291"/>
      <c r="G215" s="291"/>
      <c r="H215" s="291"/>
      <c r="I215" s="179" t="s">
        <v>27</v>
      </c>
      <c r="J215" s="180"/>
      <c r="K215" s="180" t="s">
        <v>227</v>
      </c>
      <c r="L215" s="181"/>
      <c r="M215" s="181"/>
      <c r="N215" s="182">
        <v>148</v>
      </c>
      <c r="O215" s="182">
        <v>185.8</v>
      </c>
      <c r="P215" s="182">
        <v>37.1</v>
      </c>
      <c r="Q215" s="182">
        <v>0</v>
      </c>
      <c r="R215" s="182">
        <v>0</v>
      </c>
      <c r="S215" s="182">
        <v>0</v>
      </c>
      <c r="T215" s="181">
        <f t="shared" si="40"/>
        <v>370.90000000000003</v>
      </c>
      <c r="U215" s="308"/>
    </row>
    <row r="216" spans="1:21" s="1" customFormat="1" ht="31.9" customHeight="1" x14ac:dyDescent="0.25">
      <c r="A216" s="431"/>
      <c r="B216" s="300"/>
      <c r="C216" s="421"/>
      <c r="D216" s="421"/>
      <c r="E216" s="376"/>
      <c r="F216" s="291"/>
      <c r="G216" s="291"/>
      <c r="H216" s="291"/>
      <c r="I216" s="179" t="s">
        <v>27</v>
      </c>
      <c r="J216" s="180"/>
      <c r="K216" s="180" t="s">
        <v>228</v>
      </c>
      <c r="L216" s="181"/>
      <c r="M216" s="181"/>
      <c r="N216" s="182">
        <v>3101.2</v>
      </c>
      <c r="O216" s="182">
        <v>3157</v>
      </c>
      <c r="P216" s="182">
        <v>3083.4</v>
      </c>
      <c r="Q216" s="182">
        <v>3083.4</v>
      </c>
      <c r="R216" s="182">
        <v>3498.4</v>
      </c>
      <c r="S216" s="182">
        <v>0</v>
      </c>
      <c r="T216" s="181">
        <f t="shared" si="40"/>
        <v>15923.4</v>
      </c>
      <c r="U216" s="308"/>
    </row>
    <row r="217" spans="1:21" s="1" customFormat="1" ht="30.6" customHeight="1" x14ac:dyDescent="0.25">
      <c r="A217" s="431"/>
      <c r="B217" s="300"/>
      <c r="C217" s="421"/>
      <c r="D217" s="421"/>
      <c r="E217" s="376"/>
      <c r="F217" s="291"/>
      <c r="G217" s="291"/>
      <c r="H217" s="291"/>
      <c r="I217" s="179" t="s">
        <v>27</v>
      </c>
      <c r="J217" s="180"/>
      <c r="K217" s="180" t="s">
        <v>229</v>
      </c>
      <c r="L217" s="181"/>
      <c r="M217" s="181"/>
      <c r="N217" s="182">
        <v>1283.3</v>
      </c>
      <c r="O217" s="182">
        <v>1037.7</v>
      </c>
      <c r="P217" s="182">
        <v>860.5</v>
      </c>
      <c r="Q217" s="182">
        <v>860.5</v>
      </c>
      <c r="R217" s="182">
        <v>906.2</v>
      </c>
      <c r="S217" s="182">
        <v>0</v>
      </c>
      <c r="T217" s="181">
        <f t="shared" si="40"/>
        <v>4948.2</v>
      </c>
      <c r="U217" s="308"/>
    </row>
    <row r="218" spans="1:21" s="1" customFormat="1" ht="30.6" customHeight="1" x14ac:dyDescent="0.25">
      <c r="A218" s="431"/>
      <c r="B218" s="300"/>
      <c r="C218" s="421"/>
      <c r="D218" s="421"/>
      <c r="E218" s="376"/>
      <c r="F218" s="291"/>
      <c r="G218" s="291"/>
      <c r="H218" s="291"/>
      <c r="I218" s="179" t="s">
        <v>27</v>
      </c>
      <c r="J218" s="180"/>
      <c r="K218" s="180" t="s">
        <v>230</v>
      </c>
      <c r="L218" s="181"/>
      <c r="M218" s="181"/>
      <c r="N218" s="182">
        <v>0</v>
      </c>
      <c r="O218" s="182">
        <v>0</v>
      </c>
      <c r="P218" s="182">
        <v>93.1</v>
      </c>
      <c r="Q218" s="182">
        <v>14127.9</v>
      </c>
      <c r="R218" s="182">
        <v>14360.2</v>
      </c>
      <c r="S218" s="182">
        <v>0</v>
      </c>
      <c r="T218" s="181">
        <f t="shared" si="40"/>
        <v>28581.200000000001</v>
      </c>
      <c r="U218" s="308"/>
    </row>
    <row r="219" spans="1:21" s="1" customFormat="1" ht="27.6" customHeight="1" x14ac:dyDescent="0.25">
      <c r="A219" s="431"/>
      <c r="B219" s="300"/>
      <c r="C219" s="421"/>
      <c r="D219" s="421"/>
      <c r="E219" s="376"/>
      <c r="F219" s="291"/>
      <c r="G219" s="291"/>
      <c r="H219" s="291"/>
      <c r="I219" s="179" t="s">
        <v>27</v>
      </c>
      <c r="J219" s="180"/>
      <c r="K219" s="180" t="s">
        <v>231</v>
      </c>
      <c r="L219" s="181"/>
      <c r="M219" s="181"/>
      <c r="N219" s="182">
        <v>329.4</v>
      </c>
      <c r="O219" s="182">
        <v>0</v>
      </c>
      <c r="P219" s="182">
        <v>0</v>
      </c>
      <c r="Q219" s="182">
        <v>0</v>
      </c>
      <c r="R219" s="182">
        <v>0</v>
      </c>
      <c r="S219" s="182">
        <v>0</v>
      </c>
      <c r="T219" s="181">
        <f t="shared" si="40"/>
        <v>329.4</v>
      </c>
      <c r="U219" s="308"/>
    </row>
    <row r="220" spans="1:21" s="1" customFormat="1" ht="31.9" customHeight="1" x14ac:dyDescent="0.25">
      <c r="A220" s="431"/>
      <c r="B220" s="301"/>
      <c r="C220" s="421"/>
      <c r="D220" s="421"/>
      <c r="E220" s="376"/>
      <c r="F220" s="291"/>
      <c r="G220" s="291"/>
      <c r="H220" s="291"/>
      <c r="I220" s="179" t="s">
        <v>27</v>
      </c>
      <c r="J220" s="180"/>
      <c r="K220" s="180" t="s">
        <v>232</v>
      </c>
      <c r="L220" s="181"/>
      <c r="M220" s="181"/>
      <c r="N220" s="182">
        <v>226.2</v>
      </c>
      <c r="O220" s="182">
        <v>251</v>
      </c>
      <c r="P220" s="182">
        <v>258.10000000000002</v>
      </c>
      <c r="Q220" s="182">
        <v>266.5</v>
      </c>
      <c r="R220" s="182">
        <v>334.3</v>
      </c>
      <c r="S220" s="182">
        <v>0</v>
      </c>
      <c r="T220" s="181">
        <f t="shared" si="40"/>
        <v>1336.1</v>
      </c>
      <c r="U220" s="308"/>
    </row>
    <row r="221" spans="1:21" s="1" customFormat="1" ht="32.25" customHeight="1" x14ac:dyDescent="0.25">
      <c r="A221" s="431"/>
      <c r="B221" s="210" t="s">
        <v>454</v>
      </c>
      <c r="C221" s="421"/>
      <c r="D221" s="421"/>
      <c r="E221" s="376"/>
      <c r="F221" s="291"/>
      <c r="G221" s="291"/>
      <c r="H221" s="291"/>
      <c r="I221" s="179" t="s">
        <v>39</v>
      </c>
      <c r="J221" s="180"/>
      <c r="K221" s="180"/>
      <c r="L221" s="181"/>
      <c r="M221" s="181"/>
      <c r="N221" s="182"/>
      <c r="O221" s="182"/>
      <c r="P221" s="182"/>
      <c r="Q221" s="181"/>
      <c r="R221" s="182">
        <v>52983.199999999997</v>
      </c>
      <c r="S221" s="182"/>
      <c r="T221" s="181">
        <f t="shared" si="40"/>
        <v>52983.199999999997</v>
      </c>
      <c r="U221" s="308"/>
    </row>
    <row r="222" spans="1:21" s="1" customFormat="1" ht="33.75" customHeight="1" x14ac:dyDescent="0.25">
      <c r="A222" s="431"/>
      <c r="B222" s="210" t="s">
        <v>455</v>
      </c>
      <c r="C222" s="421"/>
      <c r="D222" s="421"/>
      <c r="E222" s="376"/>
      <c r="F222" s="291"/>
      <c r="G222" s="291"/>
      <c r="H222" s="291"/>
      <c r="I222" s="179" t="s">
        <v>39</v>
      </c>
      <c r="J222" s="180"/>
      <c r="K222" s="180"/>
      <c r="L222" s="181"/>
      <c r="M222" s="181"/>
      <c r="N222" s="182"/>
      <c r="O222" s="182"/>
      <c r="P222" s="182"/>
      <c r="Q222" s="181"/>
      <c r="R222" s="182">
        <v>48377.8</v>
      </c>
      <c r="S222" s="182"/>
      <c r="T222" s="181">
        <f t="shared" si="40"/>
        <v>48377.8</v>
      </c>
      <c r="U222" s="308"/>
    </row>
    <row r="223" spans="1:21" s="1" customFormat="1" ht="27.75" customHeight="1" x14ac:dyDescent="0.25">
      <c r="A223" s="431"/>
      <c r="B223" s="210" t="s">
        <v>456</v>
      </c>
      <c r="C223" s="421"/>
      <c r="D223" s="421"/>
      <c r="E223" s="376"/>
      <c r="F223" s="291"/>
      <c r="G223" s="291"/>
      <c r="H223" s="291"/>
      <c r="I223" s="179" t="s">
        <v>39</v>
      </c>
      <c r="J223" s="180"/>
      <c r="K223" s="180"/>
      <c r="L223" s="181"/>
      <c r="M223" s="181"/>
      <c r="N223" s="182"/>
      <c r="O223" s="182"/>
      <c r="P223" s="182"/>
      <c r="Q223" s="181"/>
      <c r="R223" s="182">
        <v>1285.0999999999999</v>
      </c>
      <c r="S223" s="182"/>
      <c r="T223" s="181">
        <f t="shared" si="40"/>
        <v>1285.0999999999999</v>
      </c>
      <c r="U223" s="308"/>
    </row>
    <row r="224" spans="1:21" s="1" customFormat="1" ht="50.45" customHeight="1" x14ac:dyDescent="0.25">
      <c r="A224" s="431"/>
      <c r="B224" s="183" t="s">
        <v>457</v>
      </c>
      <c r="C224" s="421"/>
      <c r="D224" s="421"/>
      <c r="E224" s="376"/>
      <c r="F224" s="291"/>
      <c r="G224" s="291"/>
      <c r="H224" s="291"/>
      <c r="I224" s="179" t="s">
        <v>39</v>
      </c>
      <c r="J224" s="180"/>
      <c r="K224" s="180"/>
      <c r="L224" s="181"/>
      <c r="M224" s="181"/>
      <c r="N224" s="182"/>
      <c r="O224" s="182"/>
      <c r="P224" s="182"/>
      <c r="Q224" s="181"/>
      <c r="R224" s="182">
        <v>735.9</v>
      </c>
      <c r="S224" s="182"/>
      <c r="T224" s="181">
        <f t="shared" si="40"/>
        <v>735.9</v>
      </c>
      <c r="U224" s="308"/>
    </row>
    <row r="225" spans="1:21" s="1" customFormat="1" ht="48" customHeight="1" x14ac:dyDescent="0.25">
      <c r="A225" s="431"/>
      <c r="B225" s="183" t="s">
        <v>458</v>
      </c>
      <c r="C225" s="421"/>
      <c r="D225" s="421"/>
      <c r="E225" s="376"/>
      <c r="F225" s="291"/>
      <c r="G225" s="291"/>
      <c r="H225" s="291"/>
      <c r="I225" s="179" t="s">
        <v>39</v>
      </c>
      <c r="J225" s="180"/>
      <c r="K225" s="180"/>
      <c r="L225" s="181"/>
      <c r="M225" s="181"/>
      <c r="N225" s="182"/>
      <c r="O225" s="182"/>
      <c r="P225" s="182"/>
      <c r="Q225" s="181"/>
      <c r="R225" s="182">
        <v>421</v>
      </c>
      <c r="S225" s="182"/>
      <c r="T225" s="181">
        <f t="shared" si="40"/>
        <v>421</v>
      </c>
      <c r="U225" s="308"/>
    </row>
    <row r="226" spans="1:21" s="1" customFormat="1" ht="33" customHeight="1" x14ac:dyDescent="0.25">
      <c r="A226" s="431"/>
      <c r="B226" s="210" t="s">
        <v>459</v>
      </c>
      <c r="C226" s="421"/>
      <c r="D226" s="421"/>
      <c r="E226" s="376"/>
      <c r="F226" s="291"/>
      <c r="G226" s="291"/>
      <c r="H226" s="291"/>
      <c r="I226" s="179" t="s">
        <v>39</v>
      </c>
      <c r="J226" s="180"/>
      <c r="K226" s="180"/>
      <c r="L226" s="181"/>
      <c r="M226" s="181"/>
      <c r="N226" s="182"/>
      <c r="O226" s="182"/>
      <c r="P226" s="182"/>
      <c r="Q226" s="181"/>
      <c r="R226" s="182">
        <v>266.60000000000002</v>
      </c>
      <c r="S226" s="182"/>
      <c r="T226" s="181">
        <f t="shared" si="40"/>
        <v>266.60000000000002</v>
      </c>
      <c r="U226" s="308"/>
    </row>
    <row r="227" spans="1:21" s="1" customFormat="1" ht="48" customHeight="1" x14ac:dyDescent="0.25">
      <c r="A227" s="431"/>
      <c r="B227" s="183" t="s">
        <v>460</v>
      </c>
      <c r="C227" s="421"/>
      <c r="D227" s="421"/>
      <c r="E227" s="376"/>
      <c r="F227" s="291"/>
      <c r="G227" s="291"/>
      <c r="H227" s="291"/>
      <c r="I227" s="179" t="s">
        <v>39</v>
      </c>
      <c r="J227" s="180"/>
      <c r="K227" s="180"/>
      <c r="L227" s="181"/>
      <c r="M227" s="181"/>
      <c r="N227" s="182"/>
      <c r="O227" s="182"/>
      <c r="P227" s="182"/>
      <c r="Q227" s="181"/>
      <c r="R227" s="182">
        <v>197.6</v>
      </c>
      <c r="S227" s="182"/>
      <c r="T227" s="181">
        <f t="shared" si="40"/>
        <v>197.6</v>
      </c>
      <c r="U227" s="308"/>
    </row>
    <row r="228" spans="1:21" s="1" customFormat="1" ht="28.9" customHeight="1" x14ac:dyDescent="0.25">
      <c r="A228" s="431"/>
      <c r="B228" s="184" t="s">
        <v>233</v>
      </c>
      <c r="C228" s="421"/>
      <c r="D228" s="421"/>
      <c r="E228" s="376"/>
      <c r="F228" s="291"/>
      <c r="G228" s="291"/>
      <c r="H228" s="291"/>
      <c r="I228" s="179"/>
      <c r="J228" s="180"/>
      <c r="K228" s="180"/>
      <c r="L228" s="181"/>
      <c r="M228" s="181"/>
      <c r="N228" s="182"/>
      <c r="O228" s="182"/>
      <c r="P228" s="182"/>
      <c r="Q228" s="181"/>
      <c r="R228" s="182"/>
      <c r="S228" s="182"/>
      <c r="T228" s="181"/>
      <c r="U228" s="308"/>
    </row>
    <row r="229" spans="1:21" s="1" customFormat="1" ht="77.25" customHeight="1" x14ac:dyDescent="0.25">
      <c r="A229" s="431"/>
      <c r="B229" s="210" t="s">
        <v>461</v>
      </c>
      <c r="C229" s="421"/>
      <c r="D229" s="421"/>
      <c r="E229" s="376"/>
      <c r="F229" s="291"/>
      <c r="G229" s="291"/>
      <c r="H229" s="291"/>
      <c r="I229" s="179"/>
      <c r="J229" s="180"/>
      <c r="K229" s="180"/>
      <c r="L229" s="181"/>
      <c r="M229" s="181"/>
      <c r="N229" s="182"/>
      <c r="O229" s="182"/>
      <c r="P229" s="182"/>
      <c r="Q229" s="181"/>
      <c r="R229" s="182"/>
      <c r="S229" s="182"/>
      <c r="T229" s="181">
        <v>0</v>
      </c>
      <c r="U229" s="308"/>
    </row>
    <row r="230" spans="1:21" s="1" customFormat="1" ht="30.6" customHeight="1" x14ac:dyDescent="0.25">
      <c r="A230" s="431"/>
      <c r="B230" s="135" t="s">
        <v>116</v>
      </c>
      <c r="C230" s="152"/>
      <c r="D230" s="16"/>
      <c r="E230" s="16"/>
      <c r="F230" s="16"/>
      <c r="G230" s="16"/>
      <c r="H230" s="16"/>
      <c r="I230" s="16"/>
      <c r="J230" s="16"/>
      <c r="K230" s="16"/>
      <c r="L230" s="145">
        <f t="shared" ref="L230" si="41">L210+L211+L212+L213+L214++L215+L216+L217+L218+L219+L220+L221+L222+L223+L224+L225+L226+L227+L229</f>
        <v>0</v>
      </c>
      <c r="M230" s="145">
        <f>M210+M211+M212+M213+M214+M215+M216+M217+M218+M219+M220+M221+M222+M223+M224+M225+M226+M227+M228+M229</f>
        <v>0</v>
      </c>
      <c r="N230" s="145">
        <f t="shared" ref="N230:T230" si="42">N210+N211+N212+N213+N214+N215+N216+N217+N218+N219+N220+N221+N222+N223+N224+N225+N226+N227+N228+N229</f>
        <v>8389.1</v>
      </c>
      <c r="O230" s="145">
        <f t="shared" si="42"/>
        <v>5818.9</v>
      </c>
      <c r="P230" s="145">
        <f t="shared" si="42"/>
        <v>8978.1</v>
      </c>
      <c r="Q230" s="145">
        <f t="shared" si="42"/>
        <v>19394.400000000001</v>
      </c>
      <c r="R230" s="145">
        <f t="shared" si="42"/>
        <v>124283.8</v>
      </c>
      <c r="S230" s="145">
        <f t="shared" si="42"/>
        <v>0</v>
      </c>
      <c r="T230" s="145">
        <f t="shared" si="42"/>
        <v>166864.29999999999</v>
      </c>
      <c r="U230" s="20"/>
    </row>
    <row r="231" spans="1:21" ht="33" customHeight="1" x14ac:dyDescent="0.25">
      <c r="A231" s="302">
        <v>16</v>
      </c>
      <c r="B231" s="438" t="s">
        <v>128</v>
      </c>
      <c r="C231" s="302" t="s">
        <v>44</v>
      </c>
      <c r="D231" s="302" t="s">
        <v>24</v>
      </c>
      <c r="E231" s="377" t="s">
        <v>63</v>
      </c>
      <c r="F231" s="277" t="s">
        <v>32</v>
      </c>
      <c r="G231" s="277" t="s">
        <v>64</v>
      </c>
      <c r="H231" s="277" t="s">
        <v>383</v>
      </c>
      <c r="I231" s="109" t="s">
        <v>27</v>
      </c>
      <c r="J231" s="331">
        <v>211</v>
      </c>
      <c r="K231" s="206" t="s">
        <v>70</v>
      </c>
      <c r="L231" s="202"/>
      <c r="M231" s="203"/>
      <c r="N231" s="203"/>
      <c r="O231" s="202">
        <v>606.89300000000003</v>
      </c>
      <c r="P231" s="202">
        <v>363.04500000000002</v>
      </c>
      <c r="Q231" s="202">
        <v>139.58600000000001</v>
      </c>
      <c r="R231" s="202">
        <v>466.28699999999998</v>
      </c>
      <c r="S231" s="202">
        <v>1.7350000000000001</v>
      </c>
      <c r="T231" s="204">
        <f>L231+M231+N231+O231+P231+Q231+R231+S231</f>
        <v>1577.546</v>
      </c>
      <c r="U231" s="303" t="s">
        <v>71</v>
      </c>
    </row>
    <row r="232" spans="1:21" ht="29.25" customHeight="1" x14ac:dyDescent="0.25">
      <c r="A232" s="302"/>
      <c r="B232" s="439"/>
      <c r="C232" s="302"/>
      <c r="D232" s="302"/>
      <c r="E232" s="377"/>
      <c r="F232" s="277"/>
      <c r="G232" s="277"/>
      <c r="H232" s="277"/>
      <c r="I232" s="109" t="s">
        <v>27</v>
      </c>
      <c r="J232" s="332"/>
      <c r="K232" s="206" t="s">
        <v>65</v>
      </c>
      <c r="L232" s="202"/>
      <c r="M232" s="203"/>
      <c r="N232" s="203"/>
      <c r="O232" s="202"/>
      <c r="P232" s="202"/>
      <c r="Q232" s="202">
        <v>1871.5060000000001</v>
      </c>
      <c r="R232" s="202">
        <v>6663.9889999999996</v>
      </c>
      <c r="S232" s="202">
        <v>2401.0100000000002</v>
      </c>
      <c r="T232" s="204">
        <f t="shared" ref="T232:T246" si="43">L232+M232+N232+O232+P232+Q232+R232+S232</f>
        <v>10936.504999999999</v>
      </c>
      <c r="U232" s="303"/>
    </row>
    <row r="233" spans="1:21" ht="29.25" customHeight="1" x14ac:dyDescent="0.25">
      <c r="A233" s="302"/>
      <c r="B233" s="439"/>
      <c r="C233" s="302"/>
      <c r="D233" s="302"/>
      <c r="E233" s="377"/>
      <c r="F233" s="277"/>
      <c r="G233" s="277"/>
      <c r="H233" s="277"/>
      <c r="I233" s="109" t="s">
        <v>27</v>
      </c>
      <c r="J233" s="332"/>
      <c r="K233" s="206" t="s">
        <v>376</v>
      </c>
      <c r="L233" s="202"/>
      <c r="M233" s="203"/>
      <c r="N233" s="203"/>
      <c r="O233" s="202"/>
      <c r="P233" s="202">
        <v>6693.7479999999996</v>
      </c>
      <c r="Q233" s="202">
        <v>18411.154999999999</v>
      </c>
      <c r="R233" s="202">
        <v>2360.9780000000001</v>
      </c>
      <c r="S233" s="202"/>
      <c r="T233" s="204">
        <f t="shared" si="43"/>
        <v>27465.880999999998</v>
      </c>
      <c r="U233" s="303"/>
    </row>
    <row r="234" spans="1:21" ht="29.25" customHeight="1" x14ac:dyDescent="0.25">
      <c r="A234" s="302"/>
      <c r="B234" s="439"/>
      <c r="C234" s="302"/>
      <c r="D234" s="302"/>
      <c r="E234" s="377"/>
      <c r="F234" s="277"/>
      <c r="G234" s="277"/>
      <c r="H234" s="277"/>
      <c r="I234" s="109" t="s">
        <v>27</v>
      </c>
      <c r="J234" s="332"/>
      <c r="K234" s="206" t="s">
        <v>377</v>
      </c>
      <c r="L234" s="202"/>
      <c r="M234" s="203"/>
      <c r="N234" s="203"/>
      <c r="O234" s="202">
        <v>9007.9120000000003</v>
      </c>
      <c r="P234" s="202">
        <v>7488.9690000000001</v>
      </c>
      <c r="Q234" s="202">
        <v>8524.3449999999993</v>
      </c>
      <c r="R234" s="202">
        <v>11139.735000000001</v>
      </c>
      <c r="S234" s="202">
        <v>1794.42</v>
      </c>
      <c r="T234" s="204">
        <f t="shared" si="43"/>
        <v>37955.381000000001</v>
      </c>
      <c r="U234" s="303"/>
    </row>
    <row r="235" spans="1:21" ht="27.75" customHeight="1" x14ac:dyDescent="0.25">
      <c r="A235" s="302"/>
      <c r="B235" s="439"/>
      <c r="C235" s="302"/>
      <c r="D235" s="302"/>
      <c r="E235" s="377"/>
      <c r="F235" s="277"/>
      <c r="G235" s="277"/>
      <c r="H235" s="277"/>
      <c r="I235" s="109" t="s">
        <v>27</v>
      </c>
      <c r="J235" s="332"/>
      <c r="K235" s="206" t="s">
        <v>378</v>
      </c>
      <c r="L235" s="202"/>
      <c r="M235" s="203"/>
      <c r="N235" s="203"/>
      <c r="O235" s="202">
        <v>5.7850000000000001</v>
      </c>
      <c r="P235" s="202"/>
      <c r="Q235" s="202">
        <v>34.475999999999999</v>
      </c>
      <c r="R235" s="202">
        <v>11.773999999999999</v>
      </c>
      <c r="S235" s="202">
        <v>58.88</v>
      </c>
      <c r="T235" s="204">
        <f t="shared" si="43"/>
        <v>110.91499999999999</v>
      </c>
      <c r="U235" s="303"/>
    </row>
    <row r="236" spans="1:21" ht="27" customHeight="1" x14ac:dyDescent="0.25">
      <c r="A236" s="302"/>
      <c r="B236" s="439"/>
      <c r="C236" s="302"/>
      <c r="D236" s="302"/>
      <c r="E236" s="377"/>
      <c r="F236" s="277"/>
      <c r="G236" s="277"/>
      <c r="H236" s="277"/>
      <c r="I236" s="109" t="s">
        <v>27</v>
      </c>
      <c r="J236" s="332"/>
      <c r="K236" s="206" t="s">
        <v>231</v>
      </c>
      <c r="L236" s="202"/>
      <c r="M236" s="203"/>
      <c r="N236" s="203"/>
      <c r="O236" s="202"/>
      <c r="P236" s="202">
        <v>32.473999999999997</v>
      </c>
      <c r="Q236" s="202">
        <v>37.031999999999996</v>
      </c>
      <c r="R236" s="202"/>
      <c r="S236" s="202"/>
      <c r="T236" s="204">
        <f t="shared" si="43"/>
        <v>69.506</v>
      </c>
      <c r="U236" s="303"/>
    </row>
    <row r="237" spans="1:21" ht="27.75" customHeight="1" x14ac:dyDescent="0.25">
      <c r="A237" s="302"/>
      <c r="B237" s="439"/>
      <c r="C237" s="302"/>
      <c r="D237" s="302"/>
      <c r="E237" s="377"/>
      <c r="F237" s="277"/>
      <c r="G237" s="277"/>
      <c r="H237" s="277"/>
      <c r="I237" s="109" t="s">
        <v>27</v>
      </c>
      <c r="J237" s="332"/>
      <c r="K237" s="206" t="s">
        <v>379</v>
      </c>
      <c r="L237" s="202"/>
      <c r="M237" s="203"/>
      <c r="N237" s="203"/>
      <c r="O237" s="202">
        <v>680.94299999999998</v>
      </c>
      <c r="P237" s="202"/>
      <c r="Q237" s="202"/>
      <c r="R237" s="202"/>
      <c r="S237" s="202"/>
      <c r="T237" s="204">
        <f t="shared" si="43"/>
        <v>680.94299999999998</v>
      </c>
      <c r="U237" s="303"/>
    </row>
    <row r="238" spans="1:21" ht="25.5" customHeight="1" x14ac:dyDescent="0.25">
      <c r="A238" s="302"/>
      <c r="B238" s="439"/>
      <c r="C238" s="302"/>
      <c r="D238" s="302"/>
      <c r="E238" s="377"/>
      <c r="F238" s="277"/>
      <c r="G238" s="277"/>
      <c r="H238" s="277"/>
      <c r="I238" s="109" t="s">
        <v>27</v>
      </c>
      <c r="J238" s="332"/>
      <c r="K238" s="206" t="s">
        <v>380</v>
      </c>
      <c r="L238" s="202"/>
      <c r="M238" s="203"/>
      <c r="N238" s="203"/>
      <c r="O238" s="202">
        <v>8992.8439999999991</v>
      </c>
      <c r="P238" s="202">
        <v>1751</v>
      </c>
      <c r="Q238" s="202">
        <v>263.60199999999998</v>
      </c>
      <c r="R238" s="202"/>
      <c r="S238" s="202"/>
      <c r="T238" s="204">
        <f t="shared" si="43"/>
        <v>11007.446</v>
      </c>
      <c r="U238" s="303"/>
    </row>
    <row r="239" spans="1:21" ht="29.25" customHeight="1" x14ac:dyDescent="0.25">
      <c r="A239" s="302"/>
      <c r="B239" s="439"/>
      <c r="C239" s="302"/>
      <c r="D239" s="302"/>
      <c r="E239" s="377"/>
      <c r="F239" s="277"/>
      <c r="G239" s="277"/>
      <c r="H239" s="277"/>
      <c r="I239" s="109" t="s">
        <v>27</v>
      </c>
      <c r="J239" s="332"/>
      <c r="K239" s="206" t="s">
        <v>381</v>
      </c>
      <c r="L239" s="202"/>
      <c r="M239" s="203"/>
      <c r="N239" s="203"/>
      <c r="O239" s="202">
        <v>47.173999999999999</v>
      </c>
      <c r="P239" s="202"/>
      <c r="Q239" s="202">
        <v>154.45500000000001</v>
      </c>
      <c r="R239" s="202">
        <v>46.768000000000001</v>
      </c>
      <c r="S239" s="202"/>
      <c r="T239" s="204">
        <f t="shared" si="43"/>
        <v>248.39700000000002</v>
      </c>
      <c r="U239" s="303"/>
    </row>
    <row r="240" spans="1:21" ht="24" customHeight="1" x14ac:dyDescent="0.25">
      <c r="A240" s="302"/>
      <c r="B240" s="439"/>
      <c r="C240" s="302"/>
      <c r="D240" s="302"/>
      <c r="E240" s="377"/>
      <c r="F240" s="277"/>
      <c r="G240" s="277"/>
      <c r="H240" s="277"/>
      <c r="I240" s="109" t="s">
        <v>27</v>
      </c>
      <c r="J240" s="332"/>
      <c r="K240" s="206" t="s">
        <v>46</v>
      </c>
      <c r="L240" s="202"/>
      <c r="M240" s="203"/>
      <c r="N240" s="203"/>
      <c r="O240" s="202"/>
      <c r="P240" s="202"/>
      <c r="Q240" s="202"/>
      <c r="R240" s="202">
        <v>600</v>
      </c>
      <c r="S240" s="202"/>
      <c r="T240" s="204">
        <f t="shared" si="43"/>
        <v>600</v>
      </c>
      <c r="U240" s="303"/>
    </row>
    <row r="241" spans="1:21" ht="25.5" customHeight="1" x14ac:dyDescent="0.25">
      <c r="A241" s="302"/>
      <c r="B241" s="440"/>
      <c r="C241" s="302"/>
      <c r="D241" s="302"/>
      <c r="E241" s="377"/>
      <c r="F241" s="277"/>
      <c r="G241" s="277"/>
      <c r="H241" s="277"/>
      <c r="I241" s="109" t="s">
        <v>27</v>
      </c>
      <c r="J241" s="332"/>
      <c r="K241" s="206" t="s">
        <v>382</v>
      </c>
      <c r="L241" s="202"/>
      <c r="M241" s="203"/>
      <c r="N241" s="203"/>
      <c r="O241" s="202"/>
      <c r="P241" s="202"/>
      <c r="Q241" s="202"/>
      <c r="R241" s="202">
        <v>5435.8119999999999</v>
      </c>
      <c r="S241" s="202"/>
      <c r="T241" s="204">
        <f t="shared" si="43"/>
        <v>5435.8119999999999</v>
      </c>
      <c r="U241" s="303"/>
    </row>
    <row r="242" spans="1:21" ht="56.25" customHeight="1" x14ac:dyDescent="0.25">
      <c r="A242" s="302"/>
      <c r="B242" s="209" t="s">
        <v>394</v>
      </c>
      <c r="C242" s="302"/>
      <c r="D242" s="302"/>
      <c r="E242" s="377"/>
      <c r="F242" s="277"/>
      <c r="G242" s="277"/>
      <c r="H242" s="277"/>
      <c r="I242" s="205" t="s">
        <v>27</v>
      </c>
      <c r="J242" s="333"/>
      <c r="K242" s="206" t="s">
        <v>65</v>
      </c>
      <c r="L242" s="202"/>
      <c r="M242" s="203"/>
      <c r="N242" s="203"/>
      <c r="O242" s="202">
        <v>2156.63</v>
      </c>
      <c r="P242" s="202">
        <v>2107.252</v>
      </c>
      <c r="Q242" s="202"/>
      <c r="R242" s="202"/>
      <c r="S242" s="202"/>
      <c r="T242" s="204">
        <f t="shared" si="43"/>
        <v>4263.8819999999996</v>
      </c>
      <c r="U242" s="303"/>
    </row>
    <row r="243" spans="1:21" ht="30.75" customHeight="1" x14ac:dyDescent="0.25">
      <c r="A243" s="302"/>
      <c r="B243" s="226" t="s">
        <v>443</v>
      </c>
      <c r="C243" s="302"/>
      <c r="D243" s="302"/>
      <c r="E243" s="377"/>
      <c r="F243" s="277"/>
      <c r="G243" s="277"/>
      <c r="H243" s="277"/>
      <c r="I243" s="109" t="s">
        <v>39</v>
      </c>
      <c r="J243" s="208"/>
      <c r="K243" s="206"/>
      <c r="L243" s="202"/>
      <c r="M243" s="203"/>
      <c r="N243" s="203"/>
      <c r="O243" s="202"/>
      <c r="P243" s="202"/>
      <c r="Q243" s="202"/>
      <c r="R243" s="202"/>
      <c r="S243" s="202">
        <v>390.1</v>
      </c>
      <c r="T243" s="204">
        <f t="shared" si="43"/>
        <v>390.1</v>
      </c>
      <c r="U243" s="303"/>
    </row>
    <row r="244" spans="1:21" ht="32.25" customHeight="1" x14ac:dyDescent="0.25">
      <c r="A244" s="302"/>
      <c r="B244" s="226" t="s">
        <v>444</v>
      </c>
      <c r="C244" s="302"/>
      <c r="D244" s="302"/>
      <c r="E244" s="377"/>
      <c r="F244" s="277"/>
      <c r="G244" s="277"/>
      <c r="H244" s="277"/>
      <c r="I244" s="109" t="s">
        <v>39</v>
      </c>
      <c r="J244" s="208"/>
      <c r="K244" s="206"/>
      <c r="L244" s="202"/>
      <c r="M244" s="203"/>
      <c r="N244" s="203"/>
      <c r="O244" s="202"/>
      <c r="P244" s="202"/>
      <c r="Q244" s="202"/>
      <c r="R244" s="202"/>
      <c r="S244" s="202">
        <v>63570.2</v>
      </c>
      <c r="T244" s="204">
        <f t="shared" si="43"/>
        <v>63570.2</v>
      </c>
      <c r="U244" s="303"/>
    </row>
    <row r="245" spans="1:21" ht="78" customHeight="1" x14ac:dyDescent="0.25">
      <c r="A245" s="302"/>
      <c r="B245" s="207" t="s">
        <v>395</v>
      </c>
      <c r="C245" s="302"/>
      <c r="D245" s="302"/>
      <c r="E245" s="377"/>
      <c r="F245" s="277"/>
      <c r="G245" s="277"/>
      <c r="H245" s="277"/>
      <c r="I245" s="109" t="s">
        <v>39</v>
      </c>
      <c r="J245" s="208"/>
      <c r="K245" s="206"/>
      <c r="L245" s="202"/>
      <c r="M245" s="203"/>
      <c r="N245" s="203"/>
      <c r="O245" s="202"/>
      <c r="P245" s="202"/>
      <c r="Q245" s="202"/>
      <c r="R245" s="202"/>
      <c r="S245" s="202">
        <v>6155</v>
      </c>
      <c r="T245" s="204">
        <f t="shared" si="43"/>
        <v>6155</v>
      </c>
      <c r="U245" s="303"/>
    </row>
    <row r="246" spans="1:21" ht="75" customHeight="1" x14ac:dyDescent="0.25">
      <c r="A246" s="302"/>
      <c r="B246" s="207" t="s">
        <v>396</v>
      </c>
      <c r="C246" s="302"/>
      <c r="D246" s="302"/>
      <c r="E246" s="377"/>
      <c r="F246" s="277"/>
      <c r="G246" s="277"/>
      <c r="H246" s="277"/>
      <c r="I246" s="109" t="s">
        <v>39</v>
      </c>
      <c r="J246" s="208"/>
      <c r="K246" s="206"/>
      <c r="L246" s="202"/>
      <c r="M246" s="203"/>
      <c r="N246" s="203"/>
      <c r="O246" s="202"/>
      <c r="P246" s="202"/>
      <c r="Q246" s="202"/>
      <c r="R246" s="202"/>
      <c r="S246" s="202">
        <v>276.60000000000002</v>
      </c>
      <c r="T246" s="204">
        <f t="shared" si="43"/>
        <v>276.60000000000002</v>
      </c>
      <c r="U246" s="303"/>
    </row>
    <row r="247" spans="1:21" ht="39" customHeight="1" x14ac:dyDescent="0.25">
      <c r="A247" s="302"/>
      <c r="B247" s="135" t="s">
        <v>116</v>
      </c>
      <c r="C247" s="152"/>
      <c r="D247" s="16"/>
      <c r="E247" s="16"/>
      <c r="F247" s="16"/>
      <c r="G247" s="16"/>
      <c r="H247" s="16"/>
      <c r="I247" s="16"/>
      <c r="J247" s="16"/>
      <c r="K247" s="16"/>
      <c r="L247" s="18">
        <f>L231+L232+L233+L234+L235+L236+L237+L238+L239+L240+L241+L242+L243+L244+L245+L246</f>
        <v>0</v>
      </c>
      <c r="M247" s="18">
        <f t="shared" ref="M247:T247" si="44">M231+M232+M233+M234+M235+M236+M237+M238+M239+M240+M241+M242+M243+M244+M245+M246</f>
        <v>0</v>
      </c>
      <c r="N247" s="18">
        <f t="shared" si="44"/>
        <v>0</v>
      </c>
      <c r="O247" s="18">
        <f t="shared" si="44"/>
        <v>21498.181</v>
      </c>
      <c r="P247" s="18">
        <f t="shared" si="44"/>
        <v>18436.487999999998</v>
      </c>
      <c r="Q247" s="18">
        <f t="shared" si="44"/>
        <v>29436.156999999996</v>
      </c>
      <c r="R247" s="18">
        <f t="shared" si="44"/>
        <v>26725.343000000001</v>
      </c>
      <c r="S247" s="18">
        <f t="shared" si="44"/>
        <v>74647.945000000007</v>
      </c>
      <c r="T247" s="18">
        <f t="shared" si="44"/>
        <v>170744.11399999997</v>
      </c>
      <c r="U247" s="20"/>
    </row>
    <row r="248" spans="1:21" s="11" customFormat="1" ht="35.450000000000003" customHeight="1" x14ac:dyDescent="0.25">
      <c r="A248" s="253"/>
      <c r="B248" s="320" t="s">
        <v>120</v>
      </c>
      <c r="C248" s="320"/>
      <c r="D248" s="320"/>
      <c r="E248" s="320"/>
      <c r="F248" s="320"/>
      <c r="G248" s="320"/>
      <c r="H248" s="320"/>
      <c r="I248" s="247"/>
      <c r="J248" s="247"/>
      <c r="K248" s="247"/>
      <c r="L248" s="248">
        <f>+L247+L230+L209</f>
        <v>0</v>
      </c>
      <c r="M248" s="248">
        <f t="shared" ref="M248:T248" si="45">+M247+M230+M209</f>
        <v>0</v>
      </c>
      <c r="N248" s="248">
        <f t="shared" si="45"/>
        <v>8389.1</v>
      </c>
      <c r="O248" s="248">
        <f t="shared" si="45"/>
        <v>27317.080999999998</v>
      </c>
      <c r="P248" s="248">
        <f t="shared" si="45"/>
        <v>28368.159999999996</v>
      </c>
      <c r="Q248" s="248">
        <f t="shared" si="45"/>
        <v>51977.977500000001</v>
      </c>
      <c r="R248" s="248">
        <f t="shared" si="45"/>
        <v>170847.57890000002</v>
      </c>
      <c r="S248" s="248">
        <f t="shared" si="45"/>
        <v>74647.945000000007</v>
      </c>
      <c r="T248" s="248">
        <f t="shared" si="45"/>
        <v>361547.84239999996</v>
      </c>
      <c r="U248" s="249"/>
    </row>
    <row r="249" spans="1:21" s="1" customFormat="1" ht="27" x14ac:dyDescent="0.25">
      <c r="A249" s="324" t="s">
        <v>117</v>
      </c>
      <c r="B249" s="324"/>
      <c r="C249" s="324"/>
      <c r="D249" s="324"/>
      <c r="E249" s="324"/>
      <c r="F249" s="324"/>
      <c r="G249" s="324"/>
      <c r="H249" s="324"/>
      <c r="I249" s="324"/>
      <c r="J249" s="324"/>
      <c r="K249" s="324"/>
      <c r="L249" s="324"/>
      <c r="M249" s="324"/>
      <c r="N249" s="324"/>
      <c r="O249" s="324"/>
      <c r="P249" s="324"/>
      <c r="Q249" s="324"/>
      <c r="R249" s="324"/>
      <c r="S249" s="324"/>
      <c r="T249" s="324"/>
      <c r="U249" s="324"/>
    </row>
    <row r="250" spans="1:21" s="1" customFormat="1" ht="38.450000000000003" customHeight="1" x14ac:dyDescent="0.25">
      <c r="A250" s="292">
        <v>17</v>
      </c>
      <c r="B250" s="144" t="s">
        <v>303</v>
      </c>
      <c r="C250" s="292" t="s">
        <v>277</v>
      </c>
      <c r="D250" s="292" t="s">
        <v>24</v>
      </c>
      <c r="E250" s="314" t="s">
        <v>278</v>
      </c>
      <c r="F250" s="418" t="s">
        <v>281</v>
      </c>
      <c r="G250" s="418" t="s">
        <v>69</v>
      </c>
      <c r="H250" s="418" t="s">
        <v>279</v>
      </c>
      <c r="I250" s="274" t="s">
        <v>280</v>
      </c>
      <c r="J250" s="159"/>
      <c r="K250" s="162" t="s">
        <v>282</v>
      </c>
      <c r="L250" s="160"/>
      <c r="M250" s="160"/>
      <c r="N250" s="160"/>
      <c r="O250" s="163">
        <v>1167460.2</v>
      </c>
      <c r="P250" s="163">
        <v>1732739.2</v>
      </c>
      <c r="Q250" s="163">
        <v>2243160.2999999998</v>
      </c>
      <c r="R250" s="149"/>
      <c r="S250" s="149"/>
      <c r="T250" s="6">
        <f>M250+N250+O250+P250+Q250+R250</f>
        <v>5143359.6999999993</v>
      </c>
      <c r="U250" s="292" t="s">
        <v>71</v>
      </c>
    </row>
    <row r="251" spans="1:21" s="1" customFormat="1" ht="59.25" customHeight="1" x14ac:dyDescent="0.25">
      <c r="A251" s="293"/>
      <c r="B251" s="144" t="s">
        <v>272</v>
      </c>
      <c r="C251" s="293"/>
      <c r="D251" s="293"/>
      <c r="E251" s="315"/>
      <c r="F251" s="419"/>
      <c r="G251" s="419"/>
      <c r="H251" s="419"/>
      <c r="I251" s="275"/>
      <c r="J251" s="159"/>
      <c r="K251" s="159"/>
      <c r="L251" s="160"/>
      <c r="M251" s="160"/>
      <c r="N251" s="160"/>
      <c r="O251" s="163"/>
      <c r="P251" s="163"/>
      <c r="Q251" s="163"/>
      <c r="R251" s="149"/>
      <c r="S251" s="149"/>
      <c r="T251" s="6">
        <f t="shared" ref="T251:T255" si="46">M251+N251+O251+P251+Q251+R251</f>
        <v>0</v>
      </c>
      <c r="U251" s="293"/>
    </row>
    <row r="252" spans="1:21" s="1" customFormat="1" ht="55.5" customHeight="1" x14ac:dyDescent="0.25">
      <c r="A252" s="293"/>
      <c r="B252" s="144" t="s">
        <v>273</v>
      </c>
      <c r="C252" s="293"/>
      <c r="D252" s="293"/>
      <c r="E252" s="315"/>
      <c r="F252" s="419"/>
      <c r="G252" s="419"/>
      <c r="H252" s="419"/>
      <c r="I252" s="275"/>
      <c r="J252" s="159"/>
      <c r="K252" s="159"/>
      <c r="L252" s="160"/>
      <c r="M252" s="160"/>
      <c r="N252" s="160"/>
      <c r="O252" s="163"/>
      <c r="P252" s="163"/>
      <c r="Q252" s="163"/>
      <c r="R252" s="149"/>
      <c r="S252" s="149"/>
      <c r="T252" s="6">
        <f t="shared" si="46"/>
        <v>0</v>
      </c>
      <c r="U252" s="293"/>
    </row>
    <row r="253" spans="1:21" s="1" customFormat="1" ht="69" customHeight="1" x14ac:dyDescent="0.25">
      <c r="A253" s="293"/>
      <c r="B253" s="144" t="s">
        <v>274</v>
      </c>
      <c r="C253" s="293"/>
      <c r="D253" s="293"/>
      <c r="E253" s="315"/>
      <c r="F253" s="419"/>
      <c r="G253" s="419"/>
      <c r="H253" s="419"/>
      <c r="I253" s="275"/>
      <c r="J253" s="159"/>
      <c r="K253" s="159"/>
      <c r="L253" s="160"/>
      <c r="M253" s="160"/>
      <c r="N253" s="160"/>
      <c r="O253" s="163"/>
      <c r="P253" s="163"/>
      <c r="Q253" s="163"/>
      <c r="R253" s="149"/>
      <c r="S253" s="149"/>
      <c r="T253" s="6">
        <f t="shared" si="46"/>
        <v>0</v>
      </c>
      <c r="U253" s="293"/>
    </row>
    <row r="254" spans="1:21" s="1" customFormat="1" ht="69" customHeight="1" x14ac:dyDescent="0.25">
      <c r="A254" s="293"/>
      <c r="B254" s="144" t="s">
        <v>275</v>
      </c>
      <c r="C254" s="293"/>
      <c r="D254" s="293"/>
      <c r="E254" s="315"/>
      <c r="F254" s="419"/>
      <c r="G254" s="419"/>
      <c r="H254" s="419"/>
      <c r="I254" s="275"/>
      <c r="J254" s="159"/>
      <c r="K254" s="159"/>
      <c r="L254" s="160"/>
      <c r="M254" s="160"/>
      <c r="N254" s="160"/>
      <c r="O254" s="163"/>
      <c r="P254" s="163"/>
      <c r="Q254" s="163"/>
      <c r="R254" s="149"/>
      <c r="S254" s="149"/>
      <c r="T254" s="6">
        <f t="shared" si="46"/>
        <v>0</v>
      </c>
      <c r="U254" s="293"/>
    </row>
    <row r="255" spans="1:21" s="1" customFormat="1" ht="72.75" customHeight="1" x14ac:dyDescent="0.25">
      <c r="A255" s="293"/>
      <c r="B255" s="144" t="s">
        <v>276</v>
      </c>
      <c r="C255" s="294"/>
      <c r="D255" s="294"/>
      <c r="E255" s="316"/>
      <c r="F255" s="420"/>
      <c r="G255" s="420"/>
      <c r="H255" s="420"/>
      <c r="I255" s="276"/>
      <c r="J255" s="159"/>
      <c r="K255" s="159"/>
      <c r="L255" s="160"/>
      <c r="M255" s="160"/>
      <c r="N255" s="160"/>
      <c r="O255" s="163"/>
      <c r="P255" s="163"/>
      <c r="Q255" s="163"/>
      <c r="R255" s="149"/>
      <c r="S255" s="149"/>
      <c r="T255" s="6">
        <f t="shared" si="46"/>
        <v>0</v>
      </c>
      <c r="U255" s="294"/>
    </row>
    <row r="256" spans="1:21" s="1" customFormat="1" ht="37.5" customHeight="1" x14ac:dyDescent="0.25">
      <c r="A256" s="293"/>
      <c r="B256" s="133" t="s">
        <v>116</v>
      </c>
      <c r="C256" s="152"/>
      <c r="D256" s="133"/>
      <c r="E256" s="133"/>
      <c r="F256" s="85"/>
      <c r="G256" s="85"/>
      <c r="H256" s="85"/>
      <c r="I256" s="86"/>
      <c r="J256" s="87"/>
      <c r="K256" s="87"/>
      <c r="L256" s="88">
        <f t="shared" ref="L256" si="47">SUM(L250:L250)</f>
        <v>0</v>
      </c>
      <c r="M256" s="88">
        <f>M250+M251+M252+M253+M254+M255</f>
        <v>0</v>
      </c>
      <c r="N256" s="88">
        <f t="shared" ref="N256:T256" si="48">N250+N251+N252+N253+N254+N255</f>
        <v>0</v>
      </c>
      <c r="O256" s="88">
        <f t="shared" si="48"/>
        <v>1167460.2</v>
      </c>
      <c r="P256" s="88">
        <f t="shared" si="48"/>
        <v>1732739.2</v>
      </c>
      <c r="Q256" s="88">
        <f t="shared" si="48"/>
        <v>2243160.2999999998</v>
      </c>
      <c r="R256" s="88">
        <f t="shared" si="48"/>
        <v>0</v>
      </c>
      <c r="S256" s="88">
        <f t="shared" si="48"/>
        <v>0</v>
      </c>
      <c r="T256" s="88">
        <f t="shared" si="48"/>
        <v>5143359.6999999993</v>
      </c>
      <c r="U256" s="89"/>
    </row>
    <row r="257" spans="1:21" s="1" customFormat="1" ht="34.15" customHeight="1" x14ac:dyDescent="0.25">
      <c r="A257" s="325">
        <v>18</v>
      </c>
      <c r="B257" s="144" t="s">
        <v>66</v>
      </c>
      <c r="C257" s="274" t="s">
        <v>23</v>
      </c>
      <c r="D257" s="274" t="s">
        <v>24</v>
      </c>
      <c r="E257" s="304" t="s">
        <v>67</v>
      </c>
      <c r="F257" s="295" t="s">
        <v>68</v>
      </c>
      <c r="G257" s="295" t="s">
        <v>69</v>
      </c>
      <c r="H257" s="295" t="s">
        <v>26</v>
      </c>
      <c r="I257" s="274" t="s">
        <v>27</v>
      </c>
      <c r="J257" s="51">
        <v>208</v>
      </c>
      <c r="K257" s="56" t="s">
        <v>70</v>
      </c>
      <c r="L257" s="52"/>
      <c r="M257" s="52"/>
      <c r="N257" s="55"/>
      <c r="O257" s="14">
        <v>175.70345449999999</v>
      </c>
      <c r="P257" s="14">
        <v>317.40414099999998</v>
      </c>
      <c r="Q257" s="14">
        <v>341.53236299999998</v>
      </c>
      <c r="R257" s="14">
        <v>207.41439120000001</v>
      </c>
      <c r="S257" s="14">
        <v>0</v>
      </c>
      <c r="T257" s="15">
        <v>1042.0999999999999</v>
      </c>
      <c r="U257" s="287" t="s">
        <v>71</v>
      </c>
    </row>
    <row r="258" spans="1:21" s="1" customFormat="1" ht="51.6" customHeight="1" x14ac:dyDescent="0.25">
      <c r="A258" s="325"/>
      <c r="B258" s="156" t="s">
        <v>157</v>
      </c>
      <c r="C258" s="275"/>
      <c r="D258" s="275"/>
      <c r="E258" s="305"/>
      <c r="F258" s="296"/>
      <c r="G258" s="296"/>
      <c r="H258" s="296"/>
      <c r="I258" s="275"/>
      <c r="J258" s="54"/>
      <c r="K258" s="54"/>
      <c r="L258" s="52"/>
      <c r="M258" s="52"/>
      <c r="N258" s="52"/>
      <c r="O258" s="52"/>
      <c r="P258" s="52"/>
      <c r="Q258" s="52"/>
      <c r="R258" s="52"/>
      <c r="S258" s="52"/>
      <c r="T258" s="52">
        <v>0</v>
      </c>
      <c r="U258" s="288"/>
    </row>
    <row r="259" spans="1:21" s="1" customFormat="1" ht="53.45" customHeight="1" x14ac:dyDescent="0.25">
      <c r="A259" s="325"/>
      <c r="B259" s="156" t="s">
        <v>158</v>
      </c>
      <c r="C259" s="275"/>
      <c r="D259" s="275"/>
      <c r="E259" s="305"/>
      <c r="F259" s="296"/>
      <c r="G259" s="296"/>
      <c r="H259" s="296"/>
      <c r="I259" s="275"/>
      <c r="J259" s="54"/>
      <c r="K259" s="54"/>
      <c r="L259" s="52"/>
      <c r="M259" s="52"/>
      <c r="N259" s="52"/>
      <c r="O259" s="52"/>
      <c r="P259" s="52"/>
      <c r="Q259" s="52"/>
      <c r="R259" s="52"/>
      <c r="S259" s="52"/>
      <c r="T259" s="52">
        <v>0</v>
      </c>
      <c r="U259" s="288"/>
    </row>
    <row r="260" spans="1:21" s="1" customFormat="1" ht="53.45" customHeight="1" x14ac:dyDescent="0.25">
      <c r="A260" s="325"/>
      <c r="B260" s="156" t="s">
        <v>156</v>
      </c>
      <c r="C260" s="275"/>
      <c r="D260" s="275"/>
      <c r="E260" s="305"/>
      <c r="F260" s="296"/>
      <c r="G260" s="296"/>
      <c r="H260" s="296"/>
      <c r="I260" s="275"/>
      <c r="J260" s="54"/>
      <c r="K260" s="54"/>
      <c r="L260" s="52"/>
      <c r="M260" s="52"/>
      <c r="N260" s="52"/>
      <c r="O260" s="52"/>
      <c r="P260" s="52"/>
      <c r="Q260" s="52"/>
      <c r="R260" s="52"/>
      <c r="S260" s="52"/>
      <c r="T260" s="52">
        <v>0</v>
      </c>
      <c r="U260" s="288"/>
    </row>
    <row r="261" spans="1:21" s="1" customFormat="1" ht="50.45" customHeight="1" x14ac:dyDescent="0.25">
      <c r="A261" s="325"/>
      <c r="B261" s="156" t="s">
        <v>129</v>
      </c>
      <c r="C261" s="275"/>
      <c r="D261" s="275"/>
      <c r="E261" s="305"/>
      <c r="F261" s="296"/>
      <c r="G261" s="296"/>
      <c r="H261" s="296"/>
      <c r="I261" s="275"/>
      <c r="J261" s="54"/>
      <c r="K261" s="54"/>
      <c r="L261" s="52"/>
      <c r="M261" s="52"/>
      <c r="N261" s="52"/>
      <c r="O261" s="52"/>
      <c r="P261" s="52"/>
      <c r="Q261" s="52"/>
      <c r="R261" s="52"/>
      <c r="S261" s="52"/>
      <c r="T261" s="52">
        <v>0</v>
      </c>
      <c r="U261" s="288"/>
    </row>
    <row r="262" spans="1:21" s="1" customFormat="1" ht="54.6" customHeight="1" x14ac:dyDescent="0.25">
      <c r="A262" s="325"/>
      <c r="B262" s="156" t="s">
        <v>130</v>
      </c>
      <c r="C262" s="275"/>
      <c r="D262" s="275"/>
      <c r="E262" s="305"/>
      <c r="F262" s="296"/>
      <c r="G262" s="296"/>
      <c r="H262" s="296"/>
      <c r="I262" s="275"/>
      <c r="J262" s="54"/>
      <c r="K262" s="54"/>
      <c r="L262" s="52"/>
      <c r="M262" s="52"/>
      <c r="N262" s="52"/>
      <c r="O262" s="52"/>
      <c r="P262" s="52"/>
      <c r="Q262" s="52"/>
      <c r="R262" s="52"/>
      <c r="S262" s="52"/>
      <c r="T262" s="52">
        <v>0</v>
      </c>
      <c r="U262" s="288"/>
    </row>
    <row r="263" spans="1:21" s="1" customFormat="1" ht="53.45" customHeight="1" x14ac:dyDescent="0.25">
      <c r="A263" s="325"/>
      <c r="B263" s="156" t="s">
        <v>131</v>
      </c>
      <c r="C263" s="275"/>
      <c r="D263" s="275"/>
      <c r="E263" s="305"/>
      <c r="F263" s="296"/>
      <c r="G263" s="296"/>
      <c r="H263" s="296"/>
      <c r="I263" s="275"/>
      <c r="J263" s="54"/>
      <c r="K263" s="54"/>
      <c r="L263" s="52"/>
      <c r="M263" s="52"/>
      <c r="N263" s="52"/>
      <c r="O263" s="52"/>
      <c r="P263" s="52"/>
      <c r="Q263" s="52"/>
      <c r="R263" s="52"/>
      <c r="S263" s="52"/>
      <c r="T263" s="52">
        <v>0</v>
      </c>
      <c r="U263" s="288"/>
    </row>
    <row r="264" spans="1:21" s="1" customFormat="1" ht="67.5" customHeight="1" x14ac:dyDescent="0.25">
      <c r="A264" s="325"/>
      <c r="B264" s="156" t="s">
        <v>155</v>
      </c>
      <c r="C264" s="275"/>
      <c r="D264" s="275"/>
      <c r="E264" s="305"/>
      <c r="F264" s="296"/>
      <c r="G264" s="296"/>
      <c r="H264" s="296"/>
      <c r="I264" s="275"/>
      <c r="J264" s="54"/>
      <c r="K264" s="54"/>
      <c r="L264" s="52"/>
      <c r="M264" s="52"/>
      <c r="N264" s="52"/>
      <c r="O264" s="52"/>
      <c r="P264" s="52"/>
      <c r="Q264" s="52"/>
      <c r="R264" s="52"/>
      <c r="S264" s="52"/>
      <c r="T264" s="52">
        <v>0</v>
      </c>
      <c r="U264" s="288"/>
    </row>
    <row r="265" spans="1:21" s="1" customFormat="1" ht="53.45" customHeight="1" x14ac:dyDescent="0.25">
      <c r="A265" s="325"/>
      <c r="B265" s="156" t="s">
        <v>132</v>
      </c>
      <c r="C265" s="275"/>
      <c r="D265" s="275"/>
      <c r="E265" s="305"/>
      <c r="F265" s="296"/>
      <c r="G265" s="296"/>
      <c r="H265" s="296"/>
      <c r="I265" s="275"/>
      <c r="J265" s="54"/>
      <c r="K265" s="54"/>
      <c r="L265" s="52"/>
      <c r="M265" s="52"/>
      <c r="N265" s="52"/>
      <c r="O265" s="52"/>
      <c r="P265" s="52"/>
      <c r="Q265" s="52"/>
      <c r="R265" s="52"/>
      <c r="S265" s="52"/>
      <c r="T265" s="52">
        <v>0</v>
      </c>
      <c r="U265" s="288"/>
    </row>
    <row r="266" spans="1:21" s="1" customFormat="1" ht="46.5" x14ac:dyDescent="0.25">
      <c r="A266" s="325"/>
      <c r="B266" s="156" t="s">
        <v>133</v>
      </c>
      <c r="C266" s="275"/>
      <c r="D266" s="275"/>
      <c r="E266" s="305"/>
      <c r="F266" s="296"/>
      <c r="G266" s="296"/>
      <c r="H266" s="296"/>
      <c r="I266" s="275"/>
      <c r="J266" s="54"/>
      <c r="K266" s="54"/>
      <c r="L266" s="52"/>
      <c r="M266" s="52"/>
      <c r="N266" s="52"/>
      <c r="O266" s="52"/>
      <c r="P266" s="52"/>
      <c r="Q266" s="52"/>
      <c r="R266" s="52"/>
      <c r="S266" s="52"/>
      <c r="T266" s="52">
        <v>0</v>
      </c>
      <c r="U266" s="288"/>
    </row>
    <row r="267" spans="1:21" s="1" customFormat="1" ht="54.6" customHeight="1" x14ac:dyDescent="0.25">
      <c r="A267" s="325"/>
      <c r="B267" s="156" t="s">
        <v>134</v>
      </c>
      <c r="C267" s="275"/>
      <c r="D267" s="275"/>
      <c r="E267" s="305"/>
      <c r="F267" s="296"/>
      <c r="G267" s="296"/>
      <c r="H267" s="296"/>
      <c r="I267" s="275"/>
      <c r="J267" s="54"/>
      <c r="K267" s="54"/>
      <c r="L267" s="52"/>
      <c r="M267" s="52"/>
      <c r="N267" s="52"/>
      <c r="O267" s="52"/>
      <c r="P267" s="52"/>
      <c r="Q267" s="52"/>
      <c r="R267" s="52"/>
      <c r="S267" s="52"/>
      <c r="T267" s="52">
        <v>0</v>
      </c>
      <c r="U267" s="288"/>
    </row>
    <row r="268" spans="1:21" s="1" customFormat="1" ht="53.45" customHeight="1" x14ac:dyDescent="0.25">
      <c r="A268" s="325"/>
      <c r="B268" s="156" t="s">
        <v>135</v>
      </c>
      <c r="C268" s="275"/>
      <c r="D268" s="275"/>
      <c r="E268" s="305"/>
      <c r="F268" s="296"/>
      <c r="G268" s="296"/>
      <c r="H268" s="296"/>
      <c r="I268" s="275"/>
      <c r="J268" s="54"/>
      <c r="K268" s="54"/>
      <c r="L268" s="52"/>
      <c r="M268" s="52"/>
      <c r="N268" s="52"/>
      <c r="O268" s="52"/>
      <c r="P268" s="52"/>
      <c r="Q268" s="52"/>
      <c r="R268" s="52"/>
      <c r="S268" s="52"/>
      <c r="T268" s="52">
        <v>0</v>
      </c>
      <c r="U268" s="288"/>
    </row>
    <row r="269" spans="1:21" s="1" customFormat="1" ht="51.6" customHeight="1" x14ac:dyDescent="0.25">
      <c r="A269" s="325"/>
      <c r="B269" s="156" t="s">
        <v>136</v>
      </c>
      <c r="C269" s="275"/>
      <c r="D269" s="275"/>
      <c r="E269" s="305"/>
      <c r="F269" s="296"/>
      <c r="G269" s="296"/>
      <c r="H269" s="296"/>
      <c r="I269" s="275"/>
      <c r="J269" s="54"/>
      <c r="K269" s="54"/>
      <c r="L269" s="52"/>
      <c r="M269" s="52"/>
      <c r="N269" s="52"/>
      <c r="O269" s="52"/>
      <c r="P269" s="52"/>
      <c r="Q269" s="52"/>
      <c r="R269" s="52"/>
      <c r="S269" s="52"/>
      <c r="T269" s="52">
        <v>0</v>
      </c>
      <c r="U269" s="288"/>
    </row>
    <row r="270" spans="1:21" s="1" customFormat="1" ht="75" customHeight="1" x14ac:dyDescent="0.25">
      <c r="A270" s="325"/>
      <c r="B270" s="144" t="s">
        <v>154</v>
      </c>
      <c r="C270" s="275"/>
      <c r="D270" s="275"/>
      <c r="E270" s="305"/>
      <c r="F270" s="296"/>
      <c r="G270" s="296"/>
      <c r="H270" s="296"/>
      <c r="I270" s="275"/>
      <c r="J270" s="54"/>
      <c r="K270" s="54"/>
      <c r="L270" s="52"/>
      <c r="M270" s="52"/>
      <c r="N270" s="52"/>
      <c r="O270" s="52"/>
      <c r="P270" s="52"/>
      <c r="Q270" s="52"/>
      <c r="R270" s="52"/>
      <c r="S270" s="52"/>
      <c r="T270" s="52">
        <v>0</v>
      </c>
      <c r="U270" s="288"/>
    </row>
    <row r="271" spans="1:21" s="1" customFormat="1" ht="46.5" x14ac:dyDescent="0.25">
      <c r="A271" s="325"/>
      <c r="B271" s="156" t="s">
        <v>137</v>
      </c>
      <c r="C271" s="275"/>
      <c r="D271" s="275"/>
      <c r="E271" s="305"/>
      <c r="F271" s="296"/>
      <c r="G271" s="296"/>
      <c r="H271" s="296"/>
      <c r="I271" s="275"/>
      <c r="J271" s="54"/>
      <c r="K271" s="54"/>
      <c r="L271" s="52"/>
      <c r="M271" s="52"/>
      <c r="N271" s="52"/>
      <c r="O271" s="52"/>
      <c r="P271" s="52"/>
      <c r="Q271" s="52"/>
      <c r="R271" s="52"/>
      <c r="S271" s="52"/>
      <c r="T271" s="52">
        <v>0</v>
      </c>
      <c r="U271" s="288"/>
    </row>
    <row r="272" spans="1:21" s="1" customFormat="1" ht="53.45" customHeight="1" x14ac:dyDescent="0.25">
      <c r="A272" s="325"/>
      <c r="B272" s="156" t="s">
        <v>138</v>
      </c>
      <c r="C272" s="275"/>
      <c r="D272" s="275"/>
      <c r="E272" s="305"/>
      <c r="F272" s="296"/>
      <c r="G272" s="296"/>
      <c r="H272" s="296"/>
      <c r="I272" s="275"/>
      <c r="J272" s="54"/>
      <c r="K272" s="54"/>
      <c r="L272" s="52"/>
      <c r="M272" s="52"/>
      <c r="N272" s="52"/>
      <c r="O272" s="52"/>
      <c r="P272" s="52"/>
      <c r="Q272" s="52"/>
      <c r="R272" s="52"/>
      <c r="S272" s="52"/>
      <c r="T272" s="52">
        <v>0</v>
      </c>
      <c r="U272" s="288"/>
    </row>
    <row r="273" spans="1:21" s="1" customFormat="1" ht="51.6" customHeight="1" x14ac:dyDescent="0.25">
      <c r="A273" s="325"/>
      <c r="B273" s="156" t="s">
        <v>139</v>
      </c>
      <c r="C273" s="275"/>
      <c r="D273" s="275"/>
      <c r="E273" s="305"/>
      <c r="F273" s="296"/>
      <c r="G273" s="296"/>
      <c r="H273" s="296"/>
      <c r="I273" s="275"/>
      <c r="J273" s="54"/>
      <c r="K273" s="54"/>
      <c r="L273" s="52"/>
      <c r="M273" s="52"/>
      <c r="N273" s="52"/>
      <c r="O273" s="52"/>
      <c r="P273" s="52"/>
      <c r="Q273" s="52"/>
      <c r="R273" s="52"/>
      <c r="S273" s="52"/>
      <c r="T273" s="52">
        <v>0</v>
      </c>
      <c r="U273" s="288"/>
    </row>
    <row r="274" spans="1:21" s="1" customFormat="1" ht="54.6" customHeight="1" x14ac:dyDescent="0.25">
      <c r="A274" s="325"/>
      <c r="B274" s="156" t="s">
        <v>140</v>
      </c>
      <c r="C274" s="275"/>
      <c r="D274" s="275"/>
      <c r="E274" s="305"/>
      <c r="F274" s="296"/>
      <c r="G274" s="296"/>
      <c r="H274" s="296"/>
      <c r="I274" s="275"/>
      <c r="J274" s="54"/>
      <c r="K274" s="54"/>
      <c r="L274" s="52"/>
      <c r="M274" s="52"/>
      <c r="N274" s="52"/>
      <c r="O274" s="52"/>
      <c r="P274" s="52"/>
      <c r="Q274" s="52"/>
      <c r="R274" s="52"/>
      <c r="S274" s="52"/>
      <c r="T274" s="52">
        <v>0</v>
      </c>
      <c r="U274" s="288"/>
    </row>
    <row r="275" spans="1:21" s="1" customFormat="1" ht="77.45" customHeight="1" x14ac:dyDescent="0.25">
      <c r="A275" s="325"/>
      <c r="B275" s="156" t="s">
        <v>141</v>
      </c>
      <c r="C275" s="275"/>
      <c r="D275" s="275"/>
      <c r="E275" s="305"/>
      <c r="F275" s="296"/>
      <c r="G275" s="296"/>
      <c r="H275" s="296"/>
      <c r="I275" s="275"/>
      <c r="J275" s="54"/>
      <c r="K275" s="54"/>
      <c r="L275" s="52"/>
      <c r="M275" s="52"/>
      <c r="N275" s="52"/>
      <c r="O275" s="52"/>
      <c r="P275" s="52"/>
      <c r="Q275" s="52"/>
      <c r="R275" s="52"/>
      <c r="S275" s="52"/>
      <c r="T275" s="52">
        <v>0</v>
      </c>
      <c r="U275" s="288"/>
    </row>
    <row r="276" spans="1:21" s="1" customFormat="1" ht="48.6" customHeight="1" x14ac:dyDescent="0.25">
      <c r="A276" s="325"/>
      <c r="B276" s="156" t="s">
        <v>142</v>
      </c>
      <c r="C276" s="275"/>
      <c r="D276" s="275"/>
      <c r="E276" s="305"/>
      <c r="F276" s="296"/>
      <c r="G276" s="296"/>
      <c r="H276" s="296"/>
      <c r="I276" s="275"/>
      <c r="J276" s="54"/>
      <c r="K276" s="54"/>
      <c r="L276" s="52"/>
      <c r="M276" s="52"/>
      <c r="N276" s="52"/>
      <c r="O276" s="52"/>
      <c r="P276" s="52"/>
      <c r="Q276" s="52"/>
      <c r="R276" s="52"/>
      <c r="S276" s="52"/>
      <c r="T276" s="52">
        <v>0</v>
      </c>
      <c r="U276" s="288"/>
    </row>
    <row r="277" spans="1:21" s="1" customFormat="1" ht="51.6" customHeight="1" x14ac:dyDescent="0.25">
      <c r="A277" s="325"/>
      <c r="B277" s="156" t="s">
        <v>143</v>
      </c>
      <c r="C277" s="275"/>
      <c r="D277" s="275"/>
      <c r="E277" s="305"/>
      <c r="F277" s="296"/>
      <c r="G277" s="296"/>
      <c r="H277" s="296"/>
      <c r="I277" s="275"/>
      <c r="J277" s="54"/>
      <c r="K277" s="54"/>
      <c r="L277" s="52"/>
      <c r="M277" s="52"/>
      <c r="N277" s="52"/>
      <c r="O277" s="52"/>
      <c r="P277" s="52"/>
      <c r="Q277" s="52"/>
      <c r="R277" s="52"/>
      <c r="S277" s="52"/>
      <c r="T277" s="52">
        <v>0</v>
      </c>
      <c r="U277" s="288"/>
    </row>
    <row r="278" spans="1:21" s="1" customFormat="1" ht="56.45" customHeight="1" x14ac:dyDescent="0.25">
      <c r="A278" s="325"/>
      <c r="B278" s="156" t="s">
        <v>144</v>
      </c>
      <c r="C278" s="275"/>
      <c r="D278" s="275"/>
      <c r="E278" s="305"/>
      <c r="F278" s="296"/>
      <c r="G278" s="296"/>
      <c r="H278" s="296"/>
      <c r="I278" s="275"/>
      <c r="J278" s="54"/>
      <c r="K278" s="54"/>
      <c r="L278" s="52"/>
      <c r="M278" s="52"/>
      <c r="N278" s="52"/>
      <c r="O278" s="52"/>
      <c r="P278" s="52"/>
      <c r="Q278" s="52"/>
      <c r="R278" s="52"/>
      <c r="S278" s="52"/>
      <c r="T278" s="52">
        <v>0</v>
      </c>
      <c r="U278" s="288"/>
    </row>
    <row r="279" spans="1:21" s="1" customFormat="1" ht="51.6" customHeight="1" x14ac:dyDescent="0.25">
      <c r="A279" s="325"/>
      <c r="B279" s="156" t="s">
        <v>145</v>
      </c>
      <c r="C279" s="275"/>
      <c r="D279" s="275"/>
      <c r="E279" s="305"/>
      <c r="F279" s="296"/>
      <c r="G279" s="296"/>
      <c r="H279" s="296"/>
      <c r="I279" s="275"/>
      <c r="J279" s="54"/>
      <c r="K279" s="54"/>
      <c r="L279" s="52"/>
      <c r="M279" s="52"/>
      <c r="N279" s="52"/>
      <c r="O279" s="52"/>
      <c r="P279" s="52"/>
      <c r="Q279" s="52"/>
      <c r="R279" s="52"/>
      <c r="S279" s="52"/>
      <c r="T279" s="52">
        <v>0</v>
      </c>
      <c r="U279" s="288"/>
    </row>
    <row r="280" spans="1:21" s="1" customFormat="1" ht="73.150000000000006" customHeight="1" x14ac:dyDescent="0.25">
      <c r="A280" s="325"/>
      <c r="B280" s="157" t="s">
        <v>445</v>
      </c>
      <c r="C280" s="275"/>
      <c r="D280" s="275"/>
      <c r="E280" s="305"/>
      <c r="F280" s="296"/>
      <c r="G280" s="296"/>
      <c r="H280" s="296"/>
      <c r="I280" s="275"/>
      <c r="J280" s="54"/>
      <c r="K280" s="54"/>
      <c r="L280" s="52"/>
      <c r="M280" s="52"/>
      <c r="N280" s="52"/>
      <c r="O280" s="52"/>
      <c r="P280" s="52"/>
      <c r="Q280" s="52"/>
      <c r="R280" s="52"/>
      <c r="S280" s="52"/>
      <c r="T280" s="52">
        <v>0</v>
      </c>
      <c r="U280" s="288"/>
    </row>
    <row r="281" spans="1:21" s="1" customFormat="1" ht="54.6" customHeight="1" x14ac:dyDescent="0.25">
      <c r="A281" s="325"/>
      <c r="B281" s="157" t="s">
        <v>430</v>
      </c>
      <c r="C281" s="275"/>
      <c r="D281" s="275"/>
      <c r="E281" s="305"/>
      <c r="F281" s="296"/>
      <c r="G281" s="296"/>
      <c r="H281" s="296"/>
      <c r="I281" s="275"/>
      <c r="J281" s="54"/>
      <c r="K281" s="54"/>
      <c r="L281" s="52"/>
      <c r="M281" s="52"/>
      <c r="N281" s="52"/>
      <c r="O281" s="52"/>
      <c r="P281" s="52"/>
      <c r="Q281" s="52"/>
      <c r="R281" s="52"/>
      <c r="S281" s="52"/>
      <c r="T281" s="52">
        <v>0</v>
      </c>
      <c r="U281" s="288"/>
    </row>
    <row r="282" spans="1:21" s="1" customFormat="1" ht="31.5" customHeight="1" x14ac:dyDescent="0.25">
      <c r="A282" s="325"/>
      <c r="B282" s="211" t="s">
        <v>431</v>
      </c>
      <c r="C282" s="275"/>
      <c r="D282" s="275"/>
      <c r="E282" s="305"/>
      <c r="F282" s="296"/>
      <c r="G282" s="296"/>
      <c r="H282" s="296"/>
      <c r="I282" s="275"/>
      <c r="J282" s="54"/>
      <c r="K282" s="54"/>
      <c r="L282" s="52"/>
      <c r="M282" s="52"/>
      <c r="N282" s="52"/>
      <c r="O282" s="52"/>
      <c r="P282" s="52"/>
      <c r="Q282" s="52"/>
      <c r="R282" s="52"/>
      <c r="S282" s="52"/>
      <c r="T282" s="52">
        <v>0</v>
      </c>
      <c r="U282" s="288"/>
    </row>
    <row r="283" spans="1:21" s="1" customFormat="1" ht="28.9" customHeight="1" x14ac:dyDescent="0.25">
      <c r="A283" s="325"/>
      <c r="B283" s="42" t="s">
        <v>57</v>
      </c>
      <c r="C283" s="275"/>
      <c r="D283" s="275"/>
      <c r="E283" s="305"/>
      <c r="F283" s="296"/>
      <c r="G283" s="296"/>
      <c r="H283" s="296"/>
      <c r="I283" s="275"/>
      <c r="J283" s="54"/>
      <c r="K283" s="54"/>
      <c r="L283" s="52"/>
      <c r="M283" s="52"/>
      <c r="N283" s="52"/>
      <c r="O283" s="52"/>
      <c r="P283" s="52"/>
      <c r="Q283" s="52"/>
      <c r="R283" s="52"/>
      <c r="S283" s="52"/>
      <c r="T283" s="52"/>
      <c r="U283" s="288"/>
    </row>
    <row r="284" spans="1:21" s="1" customFormat="1" ht="77.45" customHeight="1" x14ac:dyDescent="0.25">
      <c r="A284" s="325"/>
      <c r="B284" s="158" t="s">
        <v>271</v>
      </c>
      <c r="C284" s="276"/>
      <c r="D284" s="276"/>
      <c r="E284" s="306"/>
      <c r="F284" s="297"/>
      <c r="G284" s="297"/>
      <c r="H284" s="297"/>
      <c r="I284" s="276"/>
      <c r="J284" s="54"/>
      <c r="K284" s="54"/>
      <c r="L284" s="52"/>
      <c r="M284" s="52"/>
      <c r="N284" s="52"/>
      <c r="O284" s="52"/>
      <c r="P284" s="52"/>
      <c r="Q284" s="52"/>
      <c r="R284" s="52"/>
      <c r="S284" s="52"/>
      <c r="T284" s="52">
        <v>0</v>
      </c>
      <c r="U284" s="289"/>
    </row>
    <row r="285" spans="1:21" s="1" customFormat="1" ht="30.6" customHeight="1" x14ac:dyDescent="0.25">
      <c r="A285" s="325"/>
      <c r="B285" s="16" t="s">
        <v>116</v>
      </c>
      <c r="C285" s="152"/>
      <c r="D285" s="16"/>
      <c r="E285" s="16"/>
      <c r="F285" s="16"/>
      <c r="G285" s="16"/>
      <c r="H285" s="16"/>
      <c r="I285" s="16"/>
      <c r="J285" s="16"/>
      <c r="K285" s="16"/>
      <c r="L285" s="18">
        <f t="shared" ref="L285" si="49">SUM(L257:L279)</f>
        <v>0</v>
      </c>
      <c r="M285" s="18">
        <f>M257+M258+M259+M260+M261+M262+M263+M264+M265+M266+M267+M268+M269+M270+M271+M272+M273+M274+M275+M276+M277+M278+M279+M280+M281+M282+M283+M284</f>
        <v>0</v>
      </c>
      <c r="N285" s="18">
        <f t="shared" ref="N285:T285" si="50">N257+N258+N259+N260+N261+N262+N263+N264+N265+N266+N267+N268+N269+N270+N271+N272+N273+N274+N275+N276+N277+N278+N279+N280+N281+N282+N283+N284</f>
        <v>0</v>
      </c>
      <c r="O285" s="18">
        <f t="shared" si="50"/>
        <v>175.70345449999999</v>
      </c>
      <c r="P285" s="18">
        <f t="shared" si="50"/>
        <v>317.40414099999998</v>
      </c>
      <c r="Q285" s="18">
        <f t="shared" si="50"/>
        <v>341.53236299999998</v>
      </c>
      <c r="R285" s="18">
        <f t="shared" si="50"/>
        <v>207.41439120000001</v>
      </c>
      <c r="S285" s="18">
        <f t="shared" si="50"/>
        <v>0</v>
      </c>
      <c r="T285" s="18">
        <f t="shared" si="50"/>
        <v>1042.0999999999999</v>
      </c>
      <c r="U285" s="20"/>
    </row>
    <row r="286" spans="1:21" s="1" customFormat="1" ht="33.75" customHeight="1" x14ac:dyDescent="0.25">
      <c r="A286" s="312">
        <v>19</v>
      </c>
      <c r="B286" s="134" t="s">
        <v>432</v>
      </c>
      <c r="C286" s="274" t="s">
        <v>113</v>
      </c>
      <c r="D286" s="274" t="s">
        <v>24</v>
      </c>
      <c r="E286" s="304" t="s">
        <v>375</v>
      </c>
      <c r="F286" s="326" t="s">
        <v>114</v>
      </c>
      <c r="G286" s="283" t="s">
        <v>115</v>
      </c>
      <c r="H286" s="283" t="s">
        <v>38</v>
      </c>
      <c r="I286" s="132" t="s">
        <v>39</v>
      </c>
      <c r="J286" s="54"/>
      <c r="K286" s="54"/>
      <c r="L286" s="52"/>
      <c r="M286" s="52"/>
      <c r="N286" s="52"/>
      <c r="O286" s="52"/>
      <c r="P286" s="52"/>
      <c r="Q286" s="52"/>
      <c r="R286" s="52"/>
      <c r="S286" s="52"/>
      <c r="T286" s="52">
        <v>0</v>
      </c>
      <c r="U286" s="287"/>
    </row>
    <row r="287" spans="1:21" s="1" customFormat="1" ht="36.75" customHeight="1" x14ac:dyDescent="0.25">
      <c r="A287" s="319"/>
      <c r="B287" s="134" t="s">
        <v>433</v>
      </c>
      <c r="C287" s="275"/>
      <c r="D287" s="275"/>
      <c r="E287" s="305"/>
      <c r="F287" s="326"/>
      <c r="G287" s="284"/>
      <c r="H287" s="284"/>
      <c r="I287" s="132" t="s">
        <v>39</v>
      </c>
      <c r="J287" s="54"/>
      <c r="K287" s="54"/>
      <c r="L287" s="52"/>
      <c r="M287" s="52"/>
      <c r="N287" s="52"/>
      <c r="O287" s="52"/>
      <c r="P287" s="52"/>
      <c r="Q287" s="52"/>
      <c r="R287" s="52"/>
      <c r="S287" s="52"/>
      <c r="T287" s="52">
        <v>0</v>
      </c>
      <c r="U287" s="288"/>
    </row>
    <row r="288" spans="1:21" s="1" customFormat="1" ht="33" customHeight="1" x14ac:dyDescent="0.25">
      <c r="A288" s="319"/>
      <c r="B288" s="134" t="s">
        <v>434</v>
      </c>
      <c r="C288" s="275"/>
      <c r="D288" s="275"/>
      <c r="E288" s="305"/>
      <c r="F288" s="326"/>
      <c r="G288" s="284"/>
      <c r="H288" s="284"/>
      <c r="I288" s="132" t="s">
        <v>39</v>
      </c>
      <c r="J288" s="54"/>
      <c r="K288" s="54"/>
      <c r="L288" s="52"/>
      <c r="M288" s="52"/>
      <c r="N288" s="52"/>
      <c r="O288" s="52"/>
      <c r="P288" s="52"/>
      <c r="Q288" s="52"/>
      <c r="R288" s="14">
        <v>227885.8</v>
      </c>
      <c r="S288" s="14"/>
      <c r="T288" s="15">
        <f>R288</f>
        <v>227885.8</v>
      </c>
      <c r="U288" s="288"/>
    </row>
    <row r="289" spans="1:21" s="1" customFormat="1" ht="46.5" customHeight="1" x14ac:dyDescent="0.25">
      <c r="A289" s="319"/>
      <c r="B289" s="134" t="s">
        <v>435</v>
      </c>
      <c r="C289" s="275"/>
      <c r="D289" s="276"/>
      <c r="E289" s="305"/>
      <c r="F289" s="326"/>
      <c r="G289" s="284"/>
      <c r="H289" s="284"/>
      <c r="I289" s="132" t="s">
        <v>39</v>
      </c>
      <c r="J289" s="54"/>
      <c r="K289" s="54"/>
      <c r="L289" s="52"/>
      <c r="M289" s="52"/>
      <c r="N289" s="52"/>
      <c r="O289" s="52"/>
      <c r="P289" s="52"/>
      <c r="Q289" s="52"/>
      <c r="R289" s="14">
        <v>425735.9</v>
      </c>
      <c r="S289" s="14"/>
      <c r="T289" s="15">
        <f>R289</f>
        <v>425735.9</v>
      </c>
      <c r="U289" s="288"/>
    </row>
    <row r="290" spans="1:21" s="1" customFormat="1" ht="31.15" customHeight="1" x14ac:dyDescent="0.25">
      <c r="A290" s="313"/>
      <c r="B290" s="380" t="s">
        <v>116</v>
      </c>
      <c r="C290" s="381"/>
      <c r="D290" s="381"/>
      <c r="E290" s="382"/>
      <c r="F290" s="85"/>
      <c r="G290" s="85"/>
      <c r="H290" s="85"/>
      <c r="I290" s="86"/>
      <c r="J290" s="87"/>
      <c r="K290" s="87"/>
      <c r="L290" s="88">
        <v>0</v>
      </c>
      <c r="M290" s="88">
        <f>M286+M287+M288+M289</f>
        <v>0</v>
      </c>
      <c r="N290" s="88">
        <f t="shared" ref="N290:T290" si="51">N286+N287+N288+N289</f>
        <v>0</v>
      </c>
      <c r="O290" s="88">
        <f t="shared" si="51"/>
        <v>0</v>
      </c>
      <c r="P290" s="88">
        <f t="shared" si="51"/>
        <v>0</v>
      </c>
      <c r="Q290" s="88">
        <f t="shared" si="51"/>
        <v>0</v>
      </c>
      <c r="R290" s="88">
        <f t="shared" si="51"/>
        <v>653621.69999999995</v>
      </c>
      <c r="S290" s="88">
        <f t="shared" si="51"/>
        <v>0</v>
      </c>
      <c r="T290" s="88">
        <f t="shared" si="51"/>
        <v>653621.69999999995</v>
      </c>
      <c r="U290" s="89"/>
    </row>
    <row r="291" spans="1:21" s="1" customFormat="1" ht="111" customHeight="1" x14ac:dyDescent="0.25">
      <c r="A291" s="378">
        <v>20</v>
      </c>
      <c r="B291" s="27" t="s">
        <v>194</v>
      </c>
      <c r="C291" s="151" t="s">
        <v>23</v>
      </c>
      <c r="D291" s="123" t="s">
        <v>24</v>
      </c>
      <c r="E291" s="143" t="s">
        <v>499</v>
      </c>
      <c r="F291" s="124" t="s">
        <v>25</v>
      </c>
      <c r="G291" s="124" t="s">
        <v>26</v>
      </c>
      <c r="H291" s="124" t="s">
        <v>72</v>
      </c>
      <c r="I291" s="12"/>
      <c r="J291" s="12"/>
      <c r="K291" s="13"/>
      <c r="L291" s="14"/>
      <c r="M291" s="14"/>
      <c r="N291" s="14"/>
      <c r="O291" s="14">
        <v>25117.3</v>
      </c>
      <c r="P291" s="14">
        <v>1313.1</v>
      </c>
      <c r="Q291" s="14"/>
      <c r="R291" s="14">
        <v>4039.3</v>
      </c>
      <c r="S291" s="14"/>
      <c r="T291" s="15">
        <f>SUM(O291:R291)</f>
        <v>30469.699999999997</v>
      </c>
      <c r="U291" s="57"/>
    </row>
    <row r="292" spans="1:21" ht="33" customHeight="1" x14ac:dyDescent="0.25">
      <c r="A292" s="378"/>
      <c r="B292" s="16" t="s">
        <v>116</v>
      </c>
      <c r="C292" s="152"/>
      <c r="D292" s="16"/>
      <c r="E292" s="16"/>
      <c r="F292" s="16"/>
      <c r="G292" s="16"/>
      <c r="H292" s="16"/>
      <c r="I292" s="16"/>
      <c r="J292" s="16"/>
      <c r="K292" s="16"/>
      <c r="L292" s="18">
        <f t="shared" ref="L292" si="52">SUM(L291)</f>
        <v>0</v>
      </c>
      <c r="M292" s="18">
        <f>M291</f>
        <v>0</v>
      </c>
      <c r="N292" s="18">
        <f t="shared" ref="N292:T292" si="53">N291</f>
        <v>0</v>
      </c>
      <c r="O292" s="18">
        <f t="shared" si="53"/>
        <v>25117.3</v>
      </c>
      <c r="P292" s="18">
        <f t="shared" si="53"/>
        <v>1313.1</v>
      </c>
      <c r="Q292" s="18">
        <f t="shared" si="53"/>
        <v>0</v>
      </c>
      <c r="R292" s="18">
        <f t="shared" si="53"/>
        <v>4039.3</v>
      </c>
      <c r="S292" s="18">
        <f t="shared" si="53"/>
        <v>0</v>
      </c>
      <c r="T292" s="18">
        <f t="shared" si="53"/>
        <v>30469.699999999997</v>
      </c>
      <c r="U292" s="20"/>
    </row>
    <row r="293" spans="1:21" ht="28.15" customHeight="1" x14ac:dyDescent="0.25">
      <c r="A293" s="292">
        <v>21</v>
      </c>
      <c r="B293" s="279" t="s">
        <v>73</v>
      </c>
      <c r="C293" s="292" t="s">
        <v>23</v>
      </c>
      <c r="D293" s="292" t="s">
        <v>24</v>
      </c>
      <c r="E293" s="409" t="s">
        <v>284</v>
      </c>
      <c r="F293" s="412" t="s">
        <v>29</v>
      </c>
      <c r="G293" s="292" t="s">
        <v>285</v>
      </c>
      <c r="H293" s="292" t="s">
        <v>355</v>
      </c>
      <c r="I293" s="292" t="s">
        <v>27</v>
      </c>
      <c r="J293" s="274">
        <v>221</v>
      </c>
      <c r="K293" s="194" t="s">
        <v>288</v>
      </c>
      <c r="L293" s="193"/>
      <c r="M293" s="23"/>
      <c r="N293" s="23">
        <v>1583.278</v>
      </c>
      <c r="O293" s="23">
        <v>1227.52</v>
      </c>
      <c r="P293" s="23">
        <v>1373.3510000000001</v>
      </c>
      <c r="Q293" s="23">
        <v>1654.106</v>
      </c>
      <c r="R293" s="23">
        <v>1332.182</v>
      </c>
      <c r="S293" s="23"/>
      <c r="T293" s="165">
        <f>L293+M293+N293+O293+P293+Q293+R293</f>
        <v>7170.436999999999</v>
      </c>
      <c r="U293" s="292" t="s">
        <v>71</v>
      </c>
    </row>
    <row r="294" spans="1:21" ht="27" customHeight="1" x14ac:dyDescent="0.25">
      <c r="A294" s="293"/>
      <c r="B294" s="280"/>
      <c r="C294" s="293"/>
      <c r="D294" s="293"/>
      <c r="E294" s="410"/>
      <c r="F294" s="413"/>
      <c r="G294" s="293"/>
      <c r="H294" s="293"/>
      <c r="I294" s="293"/>
      <c r="J294" s="275"/>
      <c r="K294" s="194" t="s">
        <v>289</v>
      </c>
      <c r="L294" s="193"/>
      <c r="M294" s="23"/>
      <c r="N294" s="23">
        <v>1813.0039999999999</v>
      </c>
      <c r="O294" s="23">
        <v>1759.4749999999999</v>
      </c>
      <c r="P294" s="23">
        <v>1567.9369999999999</v>
      </c>
      <c r="Q294" s="23">
        <v>1669.4559999999999</v>
      </c>
      <c r="R294" s="23">
        <v>1841.9739999999999</v>
      </c>
      <c r="S294" s="23"/>
      <c r="T294" s="165">
        <f t="shared" ref="T294:T307" si="54">L294+M294+N294+O294+P294+Q294+R294</f>
        <v>8651.8459999999995</v>
      </c>
      <c r="U294" s="293"/>
    </row>
    <row r="295" spans="1:21" ht="25.9" customHeight="1" x14ac:dyDescent="0.25">
      <c r="A295" s="293"/>
      <c r="B295" s="280"/>
      <c r="C295" s="293"/>
      <c r="D295" s="293"/>
      <c r="E295" s="410"/>
      <c r="F295" s="413"/>
      <c r="G295" s="293"/>
      <c r="H295" s="293"/>
      <c r="I295" s="293"/>
      <c r="J295" s="275"/>
      <c r="K295" s="194" t="s">
        <v>290</v>
      </c>
      <c r="L295" s="193"/>
      <c r="M295" s="23"/>
      <c r="N295" s="23">
        <v>30.619</v>
      </c>
      <c r="O295" s="23">
        <v>428.89</v>
      </c>
      <c r="P295" s="23">
        <v>352.15199999999999</v>
      </c>
      <c r="Q295" s="23">
        <v>369.63900000000001</v>
      </c>
      <c r="R295" s="23">
        <v>393.53500000000003</v>
      </c>
      <c r="S295" s="23"/>
      <c r="T295" s="165">
        <f t="shared" si="54"/>
        <v>1574.8350000000003</v>
      </c>
      <c r="U295" s="293"/>
    </row>
    <row r="296" spans="1:21" ht="30.6" customHeight="1" x14ac:dyDescent="0.25">
      <c r="A296" s="293"/>
      <c r="B296" s="280"/>
      <c r="C296" s="293"/>
      <c r="D296" s="293"/>
      <c r="E296" s="410"/>
      <c r="F296" s="413"/>
      <c r="G296" s="293"/>
      <c r="H296" s="293"/>
      <c r="I296" s="293"/>
      <c r="J296" s="275"/>
      <c r="K296" s="194" t="s">
        <v>291</v>
      </c>
      <c r="L296" s="193"/>
      <c r="M296" s="23"/>
      <c r="N296" s="23">
        <v>643.69299999999998</v>
      </c>
      <c r="O296" s="23">
        <v>1061.6559999999999</v>
      </c>
      <c r="P296" s="23">
        <v>1156.3800000000001</v>
      </c>
      <c r="Q296" s="23">
        <v>1097.1990000000001</v>
      </c>
      <c r="R296" s="23">
        <v>1097.1990000000001</v>
      </c>
      <c r="S296" s="23"/>
      <c r="T296" s="165">
        <f t="shared" si="54"/>
        <v>5056.1270000000004</v>
      </c>
      <c r="U296" s="293"/>
    </row>
    <row r="297" spans="1:21" ht="24" customHeight="1" x14ac:dyDescent="0.25">
      <c r="A297" s="293"/>
      <c r="B297" s="280"/>
      <c r="C297" s="293"/>
      <c r="D297" s="293"/>
      <c r="E297" s="410"/>
      <c r="F297" s="413"/>
      <c r="G297" s="293"/>
      <c r="H297" s="293"/>
      <c r="I297" s="293"/>
      <c r="J297" s="275"/>
      <c r="K297" s="194" t="s">
        <v>292</v>
      </c>
      <c r="L297" s="193"/>
      <c r="M297" s="23"/>
      <c r="N297" s="23">
        <v>18552.164000000001</v>
      </c>
      <c r="O297" s="23">
        <v>15912.893</v>
      </c>
      <c r="P297" s="23">
        <v>21403.656999999999</v>
      </c>
      <c r="Q297" s="23">
        <v>25595.5</v>
      </c>
      <c r="R297" s="23">
        <v>14427.962</v>
      </c>
      <c r="S297" s="23"/>
      <c r="T297" s="165">
        <f t="shared" si="54"/>
        <v>95892.176000000007</v>
      </c>
      <c r="U297" s="293"/>
    </row>
    <row r="298" spans="1:21" ht="26.45" customHeight="1" x14ac:dyDescent="0.25">
      <c r="A298" s="293"/>
      <c r="B298" s="280"/>
      <c r="C298" s="293"/>
      <c r="D298" s="293"/>
      <c r="E298" s="410"/>
      <c r="F298" s="413"/>
      <c r="G298" s="293"/>
      <c r="H298" s="293"/>
      <c r="I298" s="293"/>
      <c r="J298" s="275"/>
      <c r="K298" s="192" t="s">
        <v>293</v>
      </c>
      <c r="L298" s="193"/>
      <c r="M298" s="23"/>
      <c r="N298" s="23">
        <v>3732.7640000000001</v>
      </c>
      <c r="O298" s="23">
        <v>1000</v>
      </c>
      <c r="P298" s="23">
        <v>2520.3150000000001</v>
      </c>
      <c r="Q298" s="23">
        <v>0</v>
      </c>
      <c r="R298" s="23">
        <v>0</v>
      </c>
      <c r="S298" s="23"/>
      <c r="T298" s="165">
        <f t="shared" si="54"/>
        <v>7253.0789999999997</v>
      </c>
      <c r="U298" s="293"/>
    </row>
    <row r="299" spans="1:21" ht="25.9" customHeight="1" x14ac:dyDescent="0.25">
      <c r="A299" s="293"/>
      <c r="B299" s="280"/>
      <c r="C299" s="293"/>
      <c r="D299" s="293"/>
      <c r="E299" s="410"/>
      <c r="F299" s="413"/>
      <c r="G299" s="293"/>
      <c r="H299" s="293"/>
      <c r="I299" s="293"/>
      <c r="J299" s="275"/>
      <c r="K299" s="194" t="s">
        <v>294</v>
      </c>
      <c r="L299" s="193"/>
      <c r="M299" s="23"/>
      <c r="N299" s="23">
        <v>39.813000000000002</v>
      </c>
      <c r="O299" s="23">
        <v>38.817</v>
      </c>
      <c r="P299" s="23">
        <v>34.978000000000002</v>
      </c>
      <c r="Q299" s="23">
        <v>21.039000000000001</v>
      </c>
      <c r="R299" s="23">
        <v>20.7</v>
      </c>
      <c r="S299" s="23"/>
      <c r="T299" s="165">
        <f t="shared" si="54"/>
        <v>155.34699999999998</v>
      </c>
      <c r="U299" s="293"/>
    </row>
    <row r="300" spans="1:21" ht="27.6" customHeight="1" x14ac:dyDescent="0.25">
      <c r="A300" s="293"/>
      <c r="B300" s="280"/>
      <c r="C300" s="293"/>
      <c r="D300" s="293"/>
      <c r="E300" s="410"/>
      <c r="F300" s="413"/>
      <c r="G300" s="293"/>
      <c r="H300" s="293"/>
      <c r="I300" s="293"/>
      <c r="J300" s="275"/>
      <c r="K300" s="194" t="s">
        <v>295</v>
      </c>
      <c r="L300" s="193"/>
      <c r="M300" s="23"/>
      <c r="N300" s="23">
        <v>0</v>
      </c>
      <c r="O300" s="23">
        <v>0</v>
      </c>
      <c r="P300" s="23">
        <v>2447.8690000000001</v>
      </c>
      <c r="Q300" s="23">
        <v>1940.8320000000001</v>
      </c>
      <c r="R300" s="23">
        <v>0</v>
      </c>
      <c r="S300" s="23"/>
      <c r="T300" s="165">
        <f t="shared" si="54"/>
        <v>4388.701</v>
      </c>
      <c r="U300" s="293"/>
    </row>
    <row r="301" spans="1:21" ht="28.9" customHeight="1" x14ac:dyDescent="0.25">
      <c r="A301" s="293"/>
      <c r="B301" s="280"/>
      <c r="C301" s="293"/>
      <c r="D301" s="293"/>
      <c r="E301" s="410"/>
      <c r="F301" s="413"/>
      <c r="G301" s="293"/>
      <c r="H301" s="293"/>
      <c r="I301" s="293"/>
      <c r="J301" s="275"/>
      <c r="K301" s="194" t="s">
        <v>296</v>
      </c>
      <c r="L301" s="193"/>
      <c r="M301" s="23"/>
      <c r="N301" s="23">
        <v>6176.2730000000001</v>
      </c>
      <c r="O301" s="23">
        <v>7383.8270000000002</v>
      </c>
      <c r="P301" s="23">
        <v>7781.5410000000002</v>
      </c>
      <c r="Q301" s="23">
        <v>9875.366</v>
      </c>
      <c r="R301" s="23">
        <v>12652.630999999999</v>
      </c>
      <c r="S301" s="23"/>
      <c r="T301" s="165">
        <f t="shared" si="54"/>
        <v>43869.637999999999</v>
      </c>
      <c r="U301" s="293"/>
    </row>
    <row r="302" spans="1:21" ht="30.6" customHeight="1" x14ac:dyDescent="0.25">
      <c r="A302" s="293"/>
      <c r="B302" s="280"/>
      <c r="C302" s="293"/>
      <c r="D302" s="293"/>
      <c r="E302" s="410"/>
      <c r="F302" s="413"/>
      <c r="G302" s="293"/>
      <c r="H302" s="293"/>
      <c r="I302" s="293"/>
      <c r="J302" s="275"/>
      <c r="K302" s="194" t="s">
        <v>297</v>
      </c>
      <c r="L302" s="193"/>
      <c r="M302" s="23"/>
      <c r="N302" s="23"/>
      <c r="O302" s="23"/>
      <c r="P302" s="23"/>
      <c r="Q302" s="23"/>
      <c r="R302" s="23">
        <v>1550.5119999999999</v>
      </c>
      <c r="S302" s="23"/>
      <c r="T302" s="165">
        <f t="shared" si="54"/>
        <v>1550.5119999999999</v>
      </c>
      <c r="U302" s="293"/>
    </row>
    <row r="303" spans="1:21" ht="29.45" customHeight="1" x14ac:dyDescent="0.25">
      <c r="A303" s="293"/>
      <c r="B303" s="281"/>
      <c r="C303" s="293"/>
      <c r="D303" s="293"/>
      <c r="E303" s="410"/>
      <c r="F303" s="413"/>
      <c r="G303" s="293"/>
      <c r="H303" s="293"/>
      <c r="I303" s="294"/>
      <c r="J303" s="275"/>
      <c r="K303" s="194">
        <v>109</v>
      </c>
      <c r="L303" s="193"/>
      <c r="M303" s="23"/>
      <c r="N303" s="23">
        <v>2948.32</v>
      </c>
      <c r="O303" s="23"/>
      <c r="P303" s="23"/>
      <c r="Q303" s="23">
        <v>1155.4179999999999</v>
      </c>
      <c r="R303" s="23">
        <v>807.90899999999999</v>
      </c>
      <c r="S303" s="23"/>
      <c r="T303" s="165">
        <f t="shared" si="54"/>
        <v>4911.6469999999999</v>
      </c>
      <c r="U303" s="293"/>
    </row>
    <row r="304" spans="1:21" ht="54" customHeight="1" x14ac:dyDescent="0.25">
      <c r="A304" s="293"/>
      <c r="B304" s="195" t="s">
        <v>462</v>
      </c>
      <c r="C304" s="293"/>
      <c r="D304" s="293"/>
      <c r="E304" s="410"/>
      <c r="F304" s="413"/>
      <c r="G304" s="293"/>
      <c r="H304" s="293"/>
      <c r="I304" s="196" t="s">
        <v>39</v>
      </c>
      <c r="J304" s="275"/>
      <c r="K304" s="194"/>
      <c r="L304" s="193"/>
      <c r="M304" s="23"/>
      <c r="N304" s="23"/>
      <c r="O304" s="23"/>
      <c r="P304" s="23"/>
      <c r="Q304" s="23"/>
      <c r="R304" s="23">
        <v>14994.2</v>
      </c>
      <c r="S304" s="23"/>
      <c r="T304" s="165">
        <f t="shared" si="54"/>
        <v>14994.2</v>
      </c>
      <c r="U304" s="293"/>
    </row>
    <row r="305" spans="1:22" ht="75" customHeight="1" x14ac:dyDescent="0.25">
      <c r="A305" s="293"/>
      <c r="B305" s="195" t="s">
        <v>287</v>
      </c>
      <c r="C305" s="293"/>
      <c r="D305" s="293"/>
      <c r="E305" s="410"/>
      <c r="F305" s="413"/>
      <c r="G305" s="293"/>
      <c r="H305" s="293"/>
      <c r="I305" s="196" t="s">
        <v>39</v>
      </c>
      <c r="J305" s="275"/>
      <c r="K305" s="194"/>
      <c r="L305" s="193"/>
      <c r="M305" s="23"/>
      <c r="N305" s="23"/>
      <c r="O305" s="23"/>
      <c r="P305" s="23"/>
      <c r="Q305" s="23"/>
      <c r="R305" s="23">
        <v>589.20000000000005</v>
      </c>
      <c r="S305" s="23"/>
      <c r="T305" s="165">
        <f t="shared" si="54"/>
        <v>589.20000000000005</v>
      </c>
      <c r="U305" s="293"/>
    </row>
    <row r="306" spans="1:22" ht="59.45" customHeight="1" x14ac:dyDescent="0.25">
      <c r="A306" s="293"/>
      <c r="B306" s="195" t="s">
        <v>283</v>
      </c>
      <c r="C306" s="293"/>
      <c r="D306" s="293"/>
      <c r="E306" s="410"/>
      <c r="F306" s="413"/>
      <c r="G306" s="293"/>
      <c r="H306" s="293"/>
      <c r="I306" s="196" t="s">
        <v>39</v>
      </c>
      <c r="J306" s="275"/>
      <c r="K306" s="194"/>
      <c r="L306" s="193"/>
      <c r="M306" s="23"/>
      <c r="N306" s="23"/>
      <c r="O306" s="23"/>
      <c r="P306" s="23"/>
      <c r="Q306" s="23"/>
      <c r="R306" s="23">
        <v>2184.5</v>
      </c>
      <c r="S306" s="23"/>
      <c r="T306" s="165">
        <f t="shared" si="54"/>
        <v>2184.5</v>
      </c>
      <c r="U306" s="293"/>
    </row>
    <row r="307" spans="1:22" ht="30.75" customHeight="1" x14ac:dyDescent="0.25">
      <c r="A307" s="293"/>
      <c r="B307" s="195" t="s">
        <v>286</v>
      </c>
      <c r="C307" s="293"/>
      <c r="D307" s="293"/>
      <c r="E307" s="410"/>
      <c r="F307" s="413"/>
      <c r="G307" s="293"/>
      <c r="H307" s="293"/>
      <c r="I307" s="196" t="s">
        <v>27</v>
      </c>
      <c r="J307" s="275"/>
      <c r="K307" s="194" t="s">
        <v>297</v>
      </c>
      <c r="L307" s="193"/>
      <c r="M307" s="23"/>
      <c r="N307" s="23"/>
      <c r="O307" s="23"/>
      <c r="P307" s="23"/>
      <c r="Q307" s="23"/>
      <c r="R307" s="23"/>
      <c r="S307" s="23"/>
      <c r="T307" s="165">
        <f t="shared" si="54"/>
        <v>0</v>
      </c>
      <c r="U307" s="293"/>
    </row>
    <row r="308" spans="1:22" ht="33.75" customHeight="1" x14ac:dyDescent="0.25">
      <c r="A308" s="293"/>
      <c r="B308" s="195" t="s">
        <v>353</v>
      </c>
      <c r="C308" s="293"/>
      <c r="D308" s="293"/>
      <c r="E308" s="410"/>
      <c r="F308" s="413"/>
      <c r="G308" s="293"/>
      <c r="H308" s="293"/>
      <c r="I308" s="196" t="s">
        <v>27</v>
      </c>
      <c r="J308" s="275"/>
      <c r="K308" s="194"/>
      <c r="L308" s="193"/>
      <c r="M308" s="23"/>
      <c r="N308" s="23"/>
      <c r="O308" s="23"/>
      <c r="P308" s="23"/>
      <c r="Q308" s="23"/>
      <c r="R308" s="23"/>
      <c r="S308" s="23"/>
      <c r="T308" s="165">
        <v>0</v>
      </c>
      <c r="U308" s="293"/>
    </row>
    <row r="309" spans="1:22" ht="38.450000000000003" customHeight="1" x14ac:dyDescent="0.25">
      <c r="A309" s="293"/>
      <c r="B309" s="42" t="s">
        <v>57</v>
      </c>
      <c r="C309" s="293"/>
      <c r="D309" s="293"/>
      <c r="E309" s="410"/>
      <c r="F309" s="413"/>
      <c r="G309" s="293"/>
      <c r="H309" s="293"/>
      <c r="I309" s="196"/>
      <c r="J309" s="275"/>
      <c r="K309" s="194"/>
      <c r="L309" s="193"/>
      <c r="M309" s="23"/>
      <c r="N309" s="23"/>
      <c r="O309" s="23"/>
      <c r="P309" s="23"/>
      <c r="Q309" s="23"/>
      <c r="R309" s="23"/>
      <c r="S309" s="23"/>
      <c r="T309" s="165">
        <v>0</v>
      </c>
      <c r="U309" s="293"/>
    </row>
    <row r="310" spans="1:22" ht="33.75" customHeight="1" x14ac:dyDescent="0.25">
      <c r="A310" s="293"/>
      <c r="B310" s="195" t="s">
        <v>354</v>
      </c>
      <c r="C310" s="294"/>
      <c r="D310" s="294"/>
      <c r="E310" s="411"/>
      <c r="F310" s="414"/>
      <c r="G310" s="294"/>
      <c r="H310" s="294"/>
      <c r="I310" s="196"/>
      <c r="J310" s="276"/>
      <c r="K310" s="194"/>
      <c r="L310" s="193"/>
      <c r="M310" s="23"/>
      <c r="N310" s="23"/>
      <c r="O310" s="23"/>
      <c r="P310" s="23"/>
      <c r="Q310" s="23"/>
      <c r="R310" s="23"/>
      <c r="S310" s="23"/>
      <c r="T310" s="165">
        <v>0</v>
      </c>
      <c r="U310" s="294"/>
    </row>
    <row r="311" spans="1:22" ht="28.15" customHeight="1" x14ac:dyDescent="0.25">
      <c r="A311" s="294"/>
      <c r="B311" s="16" t="s">
        <v>116</v>
      </c>
      <c r="C311" s="152"/>
      <c r="D311" s="16"/>
      <c r="E311" s="16"/>
      <c r="F311" s="16"/>
      <c r="G311" s="16"/>
      <c r="H311" s="16"/>
      <c r="I311" s="16"/>
      <c r="J311" s="16"/>
      <c r="K311" s="16"/>
      <c r="L311" s="142">
        <f t="shared" ref="L311:T311" si="55">L293+L294+L295+L296+L297+L298+L299+L300+L301+L302+L303+L304+L305+L306+L307</f>
        <v>0</v>
      </c>
      <c r="M311" s="142">
        <f t="shared" si="55"/>
        <v>0</v>
      </c>
      <c r="N311" s="142">
        <f t="shared" si="55"/>
        <v>35519.928</v>
      </c>
      <c r="O311" s="142">
        <f t="shared" si="55"/>
        <v>28813.078000000001</v>
      </c>
      <c r="P311" s="142">
        <f t="shared" si="55"/>
        <v>38638.179999999993</v>
      </c>
      <c r="Q311" s="142">
        <f t="shared" si="55"/>
        <v>43378.555</v>
      </c>
      <c r="R311" s="142">
        <f t="shared" si="55"/>
        <v>51892.504000000001</v>
      </c>
      <c r="S311" s="142">
        <f t="shared" si="55"/>
        <v>0</v>
      </c>
      <c r="T311" s="142">
        <f t="shared" si="55"/>
        <v>198242.245</v>
      </c>
      <c r="U311" s="20"/>
    </row>
    <row r="312" spans="1:22" s="1" customFormat="1" ht="34.5" customHeight="1" x14ac:dyDescent="0.25">
      <c r="A312" s="403">
        <v>22</v>
      </c>
      <c r="B312" s="226" t="s">
        <v>66</v>
      </c>
      <c r="C312" s="354" t="s">
        <v>41</v>
      </c>
      <c r="D312" s="354" t="s">
        <v>24</v>
      </c>
      <c r="E312" s="268" t="s">
        <v>511</v>
      </c>
      <c r="F312" s="271" t="s">
        <v>439</v>
      </c>
      <c r="G312" s="271" t="s">
        <v>508</v>
      </c>
      <c r="H312" s="271" t="s">
        <v>440</v>
      </c>
      <c r="I312" s="201" t="s">
        <v>27</v>
      </c>
      <c r="J312" s="240"/>
      <c r="K312" s="241"/>
      <c r="L312" s="112"/>
      <c r="M312" s="112"/>
      <c r="N312" s="112"/>
      <c r="O312" s="112"/>
      <c r="P312" s="112"/>
      <c r="Q312" s="112"/>
      <c r="R312" s="112"/>
      <c r="S312" s="112"/>
      <c r="T312" s="242">
        <f>M312+L312+N312+O312+P312+Q312+R312+S312</f>
        <v>0</v>
      </c>
      <c r="U312" s="415" t="s">
        <v>71</v>
      </c>
      <c r="V312" s="164"/>
    </row>
    <row r="313" spans="1:22" s="1" customFormat="1" ht="73.5" customHeight="1" x14ac:dyDescent="0.25">
      <c r="A313" s="403"/>
      <c r="B313" s="226" t="s">
        <v>436</v>
      </c>
      <c r="C313" s="355"/>
      <c r="D313" s="355"/>
      <c r="E313" s="269"/>
      <c r="F313" s="272"/>
      <c r="G313" s="272"/>
      <c r="H313" s="272"/>
      <c r="I313" s="201" t="s">
        <v>27</v>
      </c>
      <c r="J313" s="240"/>
      <c r="K313" s="241"/>
      <c r="L313" s="112"/>
      <c r="M313" s="112"/>
      <c r="N313" s="112"/>
      <c r="O313" s="112"/>
      <c r="P313" s="112"/>
      <c r="Q313" s="112"/>
      <c r="R313" s="112"/>
      <c r="S313" s="112"/>
      <c r="T313" s="242">
        <f t="shared" ref="T313:T321" si="56">M313+L313+N313+O313+P313+Q313+R313+S313</f>
        <v>0</v>
      </c>
      <c r="U313" s="416"/>
      <c r="V313" s="164"/>
    </row>
    <row r="314" spans="1:22" s="1" customFormat="1" ht="39" customHeight="1" x14ac:dyDescent="0.25">
      <c r="A314" s="403"/>
      <c r="B314" s="226" t="s">
        <v>437</v>
      </c>
      <c r="C314" s="355"/>
      <c r="D314" s="355"/>
      <c r="E314" s="269"/>
      <c r="F314" s="272"/>
      <c r="G314" s="272"/>
      <c r="H314" s="272"/>
      <c r="I314" s="201" t="s">
        <v>27</v>
      </c>
      <c r="J314" s="201">
        <v>201</v>
      </c>
      <c r="K314" s="241" t="s">
        <v>500</v>
      </c>
      <c r="L314" s="112"/>
      <c r="M314" s="112"/>
      <c r="N314" s="112"/>
      <c r="O314" s="112"/>
      <c r="P314" s="112"/>
      <c r="Q314" s="112"/>
      <c r="R314" s="112"/>
      <c r="S314" s="112"/>
      <c r="T314" s="242">
        <f t="shared" si="56"/>
        <v>0</v>
      </c>
      <c r="U314" s="416"/>
      <c r="V314" s="164"/>
    </row>
    <row r="315" spans="1:22" s="1" customFormat="1" ht="61.5" customHeight="1" x14ac:dyDescent="0.25">
      <c r="A315" s="403"/>
      <c r="B315" s="226" t="s">
        <v>438</v>
      </c>
      <c r="C315" s="355"/>
      <c r="D315" s="355"/>
      <c r="E315" s="269"/>
      <c r="F315" s="272"/>
      <c r="G315" s="272"/>
      <c r="H315" s="272"/>
      <c r="I315" s="201" t="s">
        <v>27</v>
      </c>
      <c r="J315" s="201" t="s">
        <v>501</v>
      </c>
      <c r="K315" s="241" t="s">
        <v>502</v>
      </c>
      <c r="L315" s="112"/>
      <c r="M315" s="112"/>
      <c r="N315" s="112"/>
      <c r="O315" s="112"/>
      <c r="P315" s="112"/>
      <c r="Q315" s="112"/>
      <c r="R315" s="112"/>
      <c r="S315" s="112"/>
      <c r="T315" s="242">
        <f t="shared" si="56"/>
        <v>0</v>
      </c>
      <c r="U315" s="416"/>
      <c r="V315" s="164"/>
    </row>
    <row r="316" spans="1:22" s="1" customFormat="1" ht="52.5" customHeight="1" x14ac:dyDescent="0.25">
      <c r="A316" s="403"/>
      <c r="B316" s="226" t="s">
        <v>503</v>
      </c>
      <c r="C316" s="355"/>
      <c r="D316" s="355"/>
      <c r="E316" s="269"/>
      <c r="F316" s="272"/>
      <c r="G316" s="272"/>
      <c r="H316" s="272"/>
      <c r="I316" s="201" t="s">
        <v>27</v>
      </c>
      <c r="J316" s="201">
        <v>201</v>
      </c>
      <c r="K316" s="241" t="s">
        <v>500</v>
      </c>
      <c r="L316" s="112"/>
      <c r="M316" s="112"/>
      <c r="N316" s="112"/>
      <c r="O316" s="112"/>
      <c r="P316" s="112"/>
      <c r="Q316" s="112"/>
      <c r="R316" s="112"/>
      <c r="S316" s="112"/>
      <c r="T316" s="242">
        <f t="shared" si="56"/>
        <v>0</v>
      </c>
      <c r="U316" s="416"/>
      <c r="V316" s="164"/>
    </row>
    <row r="317" spans="1:22" s="1" customFormat="1" ht="73.5" customHeight="1" x14ac:dyDescent="0.25">
      <c r="A317" s="403"/>
      <c r="B317" s="226" t="s">
        <v>504</v>
      </c>
      <c r="C317" s="355"/>
      <c r="D317" s="355"/>
      <c r="E317" s="269"/>
      <c r="F317" s="272"/>
      <c r="G317" s="272"/>
      <c r="H317" s="272"/>
      <c r="I317" s="201"/>
      <c r="J317" s="240"/>
      <c r="K317" s="241"/>
      <c r="L317" s="112"/>
      <c r="M317" s="112"/>
      <c r="N317" s="112"/>
      <c r="O317" s="112"/>
      <c r="P317" s="112"/>
      <c r="Q317" s="112"/>
      <c r="R317" s="112"/>
      <c r="S317" s="112"/>
      <c r="T317" s="242">
        <f t="shared" si="56"/>
        <v>0</v>
      </c>
      <c r="U317" s="416"/>
      <c r="V317" s="164"/>
    </row>
    <row r="318" spans="1:22" s="1" customFormat="1" ht="33" customHeight="1" x14ac:dyDescent="0.25">
      <c r="A318" s="403"/>
      <c r="B318" s="243" t="s">
        <v>57</v>
      </c>
      <c r="C318" s="355"/>
      <c r="D318" s="355"/>
      <c r="E318" s="269"/>
      <c r="F318" s="272"/>
      <c r="G318" s="272"/>
      <c r="H318" s="272"/>
      <c r="I318" s="201"/>
      <c r="J318" s="240"/>
      <c r="K318" s="241"/>
      <c r="L318" s="112"/>
      <c r="M318" s="112"/>
      <c r="N318" s="112"/>
      <c r="O318" s="112"/>
      <c r="P318" s="112"/>
      <c r="Q318" s="112"/>
      <c r="R318" s="112"/>
      <c r="S318" s="112"/>
      <c r="T318" s="242">
        <f t="shared" si="56"/>
        <v>0</v>
      </c>
      <c r="U318" s="416"/>
      <c r="V318" s="164"/>
    </row>
    <row r="319" spans="1:22" s="1" customFormat="1" ht="54" customHeight="1" x14ac:dyDescent="0.25">
      <c r="A319" s="403"/>
      <c r="B319" s="226" t="s">
        <v>505</v>
      </c>
      <c r="C319" s="355"/>
      <c r="D319" s="355"/>
      <c r="E319" s="269"/>
      <c r="F319" s="272"/>
      <c r="G319" s="272"/>
      <c r="H319" s="272"/>
      <c r="I319" s="201"/>
      <c r="J319" s="240"/>
      <c r="K319" s="241"/>
      <c r="L319" s="112"/>
      <c r="M319" s="112"/>
      <c r="N319" s="112"/>
      <c r="O319" s="112"/>
      <c r="P319" s="112"/>
      <c r="Q319" s="112"/>
      <c r="R319" s="112"/>
      <c r="S319" s="112"/>
      <c r="T319" s="242">
        <f t="shared" si="56"/>
        <v>0</v>
      </c>
      <c r="U319" s="416"/>
      <c r="V319" s="164"/>
    </row>
    <row r="320" spans="1:22" s="1" customFormat="1" ht="34.5" customHeight="1" x14ac:dyDescent="0.25">
      <c r="A320" s="403"/>
      <c r="B320" s="226" t="s">
        <v>506</v>
      </c>
      <c r="C320" s="355"/>
      <c r="D320" s="355"/>
      <c r="E320" s="269"/>
      <c r="F320" s="272"/>
      <c r="G320" s="272"/>
      <c r="H320" s="272"/>
      <c r="I320" s="201"/>
      <c r="J320" s="240"/>
      <c r="K320" s="241"/>
      <c r="L320" s="112"/>
      <c r="M320" s="112"/>
      <c r="N320" s="112"/>
      <c r="O320" s="112"/>
      <c r="P320" s="112"/>
      <c r="Q320" s="112"/>
      <c r="R320" s="112"/>
      <c r="S320" s="112"/>
      <c r="T320" s="242">
        <f t="shared" si="56"/>
        <v>0</v>
      </c>
      <c r="U320" s="416"/>
      <c r="V320" s="164"/>
    </row>
    <row r="321" spans="1:22" s="1" customFormat="1" ht="36" customHeight="1" x14ac:dyDescent="0.25">
      <c r="A321" s="403"/>
      <c r="B321" s="226" t="s">
        <v>507</v>
      </c>
      <c r="C321" s="356"/>
      <c r="D321" s="356"/>
      <c r="E321" s="270"/>
      <c r="F321" s="273"/>
      <c r="G321" s="273"/>
      <c r="H321" s="273"/>
      <c r="I321" s="201"/>
      <c r="J321" s="240"/>
      <c r="K321" s="241"/>
      <c r="L321" s="112"/>
      <c r="M321" s="112"/>
      <c r="N321" s="112"/>
      <c r="O321" s="112"/>
      <c r="P321" s="112"/>
      <c r="Q321" s="112"/>
      <c r="R321" s="112"/>
      <c r="S321" s="112"/>
      <c r="T321" s="242">
        <f t="shared" si="56"/>
        <v>0</v>
      </c>
      <c r="U321" s="417"/>
      <c r="V321" s="164"/>
    </row>
    <row r="322" spans="1:22" ht="33" customHeight="1" x14ac:dyDescent="0.25">
      <c r="A322" s="403"/>
      <c r="B322" s="223" t="s">
        <v>116</v>
      </c>
      <c r="C322" s="152"/>
      <c r="D322" s="16"/>
      <c r="E322" s="16"/>
      <c r="F322" s="16"/>
      <c r="G322" s="16"/>
      <c r="H322" s="16"/>
      <c r="I322" s="16"/>
      <c r="J322" s="16"/>
      <c r="K322" s="224"/>
      <c r="L322" s="18">
        <f>L312+L313+L314+L315+L316+L317+L319+L320+L321</f>
        <v>0</v>
      </c>
      <c r="M322" s="18">
        <f t="shared" ref="M322:T322" si="57">M312+M313+M314+M315+M316+M317+M319+M320+M321</f>
        <v>0</v>
      </c>
      <c r="N322" s="18">
        <f t="shared" si="57"/>
        <v>0</v>
      </c>
      <c r="O322" s="18">
        <f t="shared" si="57"/>
        <v>0</v>
      </c>
      <c r="P322" s="18">
        <f t="shared" si="57"/>
        <v>0</v>
      </c>
      <c r="Q322" s="18">
        <f t="shared" si="57"/>
        <v>0</v>
      </c>
      <c r="R322" s="18">
        <f t="shared" si="57"/>
        <v>0</v>
      </c>
      <c r="S322" s="18">
        <f t="shared" si="57"/>
        <v>0</v>
      </c>
      <c r="T322" s="18">
        <f t="shared" si="57"/>
        <v>0</v>
      </c>
      <c r="U322" s="20"/>
    </row>
    <row r="323" spans="1:22" s="11" customFormat="1" ht="33" customHeight="1" x14ac:dyDescent="0.25">
      <c r="A323" s="250"/>
      <c r="B323" s="251" t="s">
        <v>120</v>
      </c>
      <c r="C323" s="251"/>
      <c r="D323" s="252"/>
      <c r="E323" s="252"/>
      <c r="F323" s="252"/>
      <c r="G323" s="252"/>
      <c r="H323" s="252"/>
      <c r="I323" s="247"/>
      <c r="J323" s="247"/>
      <c r="K323" s="251"/>
      <c r="L323" s="248">
        <f>L322+L311+L292+L290+L285+L256</f>
        <v>0</v>
      </c>
      <c r="M323" s="248">
        <f t="shared" ref="M323:T323" si="58">M322+M311+M292+M290+M285+M256</f>
        <v>0</v>
      </c>
      <c r="N323" s="248">
        <f t="shared" si="58"/>
        <v>35519.928</v>
      </c>
      <c r="O323" s="248">
        <f t="shared" si="58"/>
        <v>1221566.2814545</v>
      </c>
      <c r="P323" s="248">
        <f t="shared" si="58"/>
        <v>1773007.884141</v>
      </c>
      <c r="Q323" s="248">
        <f t="shared" si="58"/>
        <v>2286880.3873629998</v>
      </c>
      <c r="R323" s="248">
        <f t="shared" si="58"/>
        <v>709760.91839120002</v>
      </c>
      <c r="S323" s="248">
        <f t="shared" si="58"/>
        <v>0</v>
      </c>
      <c r="T323" s="248">
        <f t="shared" si="58"/>
        <v>6026735.4449999994</v>
      </c>
      <c r="U323" s="249"/>
    </row>
    <row r="324" spans="1:22" ht="33.6" customHeight="1" x14ac:dyDescent="0.25">
      <c r="A324" s="324" t="s">
        <v>117</v>
      </c>
      <c r="B324" s="324"/>
      <c r="C324" s="324"/>
      <c r="D324" s="324"/>
      <c r="E324" s="324"/>
      <c r="F324" s="324"/>
      <c r="G324" s="324"/>
      <c r="H324" s="324"/>
      <c r="I324" s="324"/>
      <c r="J324" s="324"/>
      <c r="K324" s="324"/>
      <c r="L324" s="324"/>
      <c r="M324" s="324"/>
      <c r="N324" s="324"/>
      <c r="O324" s="324"/>
      <c r="P324" s="324"/>
      <c r="Q324" s="324"/>
      <c r="R324" s="324"/>
      <c r="S324" s="324"/>
      <c r="T324" s="324"/>
      <c r="U324" s="324"/>
    </row>
    <row r="325" spans="1:22" ht="64.5" customHeight="1" x14ac:dyDescent="0.25">
      <c r="A325" s="372">
        <v>23</v>
      </c>
      <c r="B325" s="24" t="s">
        <v>74</v>
      </c>
      <c r="C325" s="312" t="s">
        <v>44</v>
      </c>
      <c r="D325" s="312" t="s">
        <v>24</v>
      </c>
      <c r="E325" s="405" t="s">
        <v>75</v>
      </c>
      <c r="F325" s="295" t="s">
        <v>76</v>
      </c>
      <c r="G325" s="407" t="s">
        <v>72</v>
      </c>
      <c r="H325" s="295" t="s">
        <v>38</v>
      </c>
      <c r="I325" s="58"/>
      <c r="J325" s="59"/>
      <c r="K325" s="59"/>
      <c r="L325" s="60"/>
      <c r="M325" s="60"/>
      <c r="N325" s="60"/>
      <c r="O325" s="60"/>
      <c r="P325" s="60"/>
      <c r="Q325" s="60"/>
      <c r="R325" s="60"/>
      <c r="S325" s="60"/>
      <c r="T325" s="15">
        <v>0</v>
      </c>
      <c r="U325" s="287"/>
    </row>
    <row r="326" spans="1:22" ht="60.75" customHeight="1" x14ac:dyDescent="0.25">
      <c r="A326" s="372"/>
      <c r="B326" s="129" t="s">
        <v>208</v>
      </c>
      <c r="C326" s="313"/>
      <c r="D326" s="313"/>
      <c r="E326" s="406"/>
      <c r="F326" s="297"/>
      <c r="G326" s="408"/>
      <c r="H326" s="297"/>
      <c r="I326" s="58"/>
      <c r="J326" s="59"/>
      <c r="K326" s="59"/>
      <c r="L326" s="60"/>
      <c r="M326" s="60"/>
      <c r="N326" s="60"/>
      <c r="O326" s="60"/>
      <c r="P326" s="60"/>
      <c r="Q326" s="60"/>
      <c r="R326" s="60"/>
      <c r="S326" s="60"/>
      <c r="T326" s="15">
        <v>0</v>
      </c>
      <c r="U326" s="289"/>
    </row>
    <row r="327" spans="1:22" ht="36.6" customHeight="1" x14ac:dyDescent="0.25">
      <c r="A327" s="372"/>
      <c r="B327" s="135" t="s">
        <v>116</v>
      </c>
      <c r="C327" s="152"/>
      <c r="D327" s="16"/>
      <c r="E327" s="16"/>
      <c r="F327" s="16"/>
      <c r="G327" s="16"/>
      <c r="H327" s="16"/>
      <c r="I327" s="16"/>
      <c r="J327" s="16"/>
      <c r="K327" s="16"/>
      <c r="L327" s="18">
        <v>0</v>
      </c>
      <c r="M327" s="18">
        <f>M325+M326</f>
        <v>0</v>
      </c>
      <c r="N327" s="18">
        <f t="shared" ref="N327:T327" si="59">N325+N326</f>
        <v>0</v>
      </c>
      <c r="O327" s="18">
        <f t="shared" si="59"/>
        <v>0</v>
      </c>
      <c r="P327" s="18">
        <f t="shared" si="59"/>
        <v>0</v>
      </c>
      <c r="Q327" s="18">
        <f t="shared" si="59"/>
        <v>0</v>
      </c>
      <c r="R327" s="18">
        <f t="shared" si="59"/>
        <v>0</v>
      </c>
      <c r="S327" s="18">
        <f t="shared" si="59"/>
        <v>0</v>
      </c>
      <c r="T327" s="18">
        <f t="shared" si="59"/>
        <v>0</v>
      </c>
      <c r="U327" s="18"/>
    </row>
    <row r="328" spans="1:22" ht="49.9" customHeight="1" x14ac:dyDescent="0.25">
      <c r="A328" s="372">
        <v>24</v>
      </c>
      <c r="B328" s="24" t="s">
        <v>77</v>
      </c>
      <c r="C328" s="325" t="s">
        <v>78</v>
      </c>
      <c r="D328" s="325" t="s">
        <v>79</v>
      </c>
      <c r="E328" s="350" t="s">
        <v>80</v>
      </c>
      <c r="F328" s="404" t="s">
        <v>25</v>
      </c>
      <c r="G328" s="404" t="s">
        <v>72</v>
      </c>
      <c r="H328" s="404" t="s">
        <v>38</v>
      </c>
      <c r="I328" s="58"/>
      <c r="J328" s="59"/>
      <c r="K328" s="59"/>
      <c r="L328" s="60"/>
      <c r="M328" s="60"/>
      <c r="N328" s="60"/>
      <c r="O328" s="60"/>
      <c r="P328" s="60"/>
      <c r="Q328" s="60"/>
      <c r="R328" s="60"/>
      <c r="S328" s="60"/>
      <c r="T328" s="60">
        <v>0</v>
      </c>
      <c r="U328" s="307"/>
    </row>
    <row r="329" spans="1:22" ht="66" customHeight="1" x14ac:dyDescent="0.25">
      <c r="A329" s="372"/>
      <c r="B329" s="24" t="s">
        <v>81</v>
      </c>
      <c r="C329" s="325"/>
      <c r="D329" s="325"/>
      <c r="E329" s="350"/>
      <c r="F329" s="404"/>
      <c r="G329" s="404"/>
      <c r="H329" s="404"/>
      <c r="I329" s="58"/>
      <c r="J329" s="59"/>
      <c r="K329" s="59"/>
      <c r="L329" s="60"/>
      <c r="M329" s="60"/>
      <c r="N329" s="60"/>
      <c r="O329" s="60"/>
      <c r="P329" s="60"/>
      <c r="Q329" s="60"/>
      <c r="R329" s="60"/>
      <c r="S329" s="60"/>
      <c r="T329" s="60">
        <v>0</v>
      </c>
      <c r="U329" s="308"/>
    </row>
    <row r="330" spans="1:22" ht="34.9" customHeight="1" x14ac:dyDescent="0.25">
      <c r="A330" s="372"/>
      <c r="B330" s="135" t="s">
        <v>116</v>
      </c>
      <c r="C330" s="152"/>
      <c r="D330" s="16"/>
      <c r="E330" s="16"/>
      <c r="F330" s="16"/>
      <c r="G330" s="16"/>
      <c r="H330" s="16"/>
      <c r="I330" s="16"/>
      <c r="J330" s="16"/>
      <c r="K330" s="16"/>
      <c r="L330" s="18">
        <v>0</v>
      </c>
      <c r="M330" s="18">
        <f>M328+M329</f>
        <v>0</v>
      </c>
      <c r="N330" s="18">
        <f t="shared" ref="N330:T330" si="60">N328+N329</f>
        <v>0</v>
      </c>
      <c r="O330" s="18">
        <f t="shared" si="60"/>
        <v>0</v>
      </c>
      <c r="P330" s="18">
        <f t="shared" si="60"/>
        <v>0</v>
      </c>
      <c r="Q330" s="18">
        <f t="shared" si="60"/>
        <v>0</v>
      </c>
      <c r="R330" s="18">
        <f t="shared" si="60"/>
        <v>0</v>
      </c>
      <c r="S330" s="18">
        <f t="shared" si="60"/>
        <v>0</v>
      </c>
      <c r="T330" s="18">
        <f t="shared" si="60"/>
        <v>0</v>
      </c>
      <c r="U330" s="20"/>
    </row>
    <row r="331" spans="1:22" ht="68.25" customHeight="1" x14ac:dyDescent="0.25">
      <c r="A331" s="363">
        <v>25</v>
      </c>
      <c r="B331" s="82" t="s">
        <v>47</v>
      </c>
      <c r="C331" s="386" t="s">
        <v>82</v>
      </c>
      <c r="D331" s="386" t="s">
        <v>83</v>
      </c>
      <c r="E331" s="328" t="s">
        <v>304</v>
      </c>
      <c r="F331" s="386" t="s">
        <v>25</v>
      </c>
      <c r="G331" s="386" t="s">
        <v>84</v>
      </c>
      <c r="H331" s="386" t="s">
        <v>64</v>
      </c>
      <c r="I331" s="12"/>
      <c r="J331" s="28"/>
      <c r="K331" s="29"/>
      <c r="L331" s="62"/>
      <c r="M331" s="62"/>
      <c r="N331" s="62"/>
      <c r="O331" s="62"/>
      <c r="P331" s="62"/>
      <c r="Q331" s="62"/>
      <c r="R331" s="62"/>
      <c r="S331" s="62"/>
      <c r="T331" s="62">
        <v>0</v>
      </c>
      <c r="U331" s="307"/>
    </row>
    <row r="332" spans="1:22" ht="74.25" customHeight="1" x14ac:dyDescent="0.25">
      <c r="A332" s="363"/>
      <c r="B332" s="82" t="s">
        <v>85</v>
      </c>
      <c r="C332" s="386"/>
      <c r="D332" s="386"/>
      <c r="E332" s="328"/>
      <c r="F332" s="386"/>
      <c r="G332" s="386"/>
      <c r="H332" s="386"/>
      <c r="I332" s="12"/>
      <c r="J332" s="28"/>
      <c r="K332" s="29"/>
      <c r="L332" s="25"/>
      <c r="M332" s="25"/>
      <c r="N332" s="25"/>
      <c r="O332" s="25"/>
      <c r="P332" s="25"/>
      <c r="Q332" s="25"/>
      <c r="R332" s="25"/>
      <c r="S332" s="25"/>
      <c r="T332" s="62">
        <v>0</v>
      </c>
      <c r="U332" s="308"/>
    </row>
    <row r="333" spans="1:22" ht="108.75" customHeight="1" x14ac:dyDescent="0.25">
      <c r="A333" s="363"/>
      <c r="B333" s="82" t="s">
        <v>86</v>
      </c>
      <c r="C333" s="386"/>
      <c r="D333" s="386"/>
      <c r="E333" s="328"/>
      <c r="F333" s="386"/>
      <c r="G333" s="386"/>
      <c r="H333" s="386"/>
      <c r="I333" s="12"/>
      <c r="J333" s="28"/>
      <c r="K333" s="29"/>
      <c r="L333" s="25"/>
      <c r="M333" s="25"/>
      <c r="N333" s="25"/>
      <c r="O333" s="25"/>
      <c r="P333" s="25"/>
      <c r="Q333" s="25"/>
      <c r="R333" s="25"/>
      <c r="S333" s="25"/>
      <c r="T333" s="62">
        <v>0</v>
      </c>
      <c r="U333" s="308"/>
    </row>
    <row r="334" spans="1:22" ht="117" customHeight="1" x14ac:dyDescent="0.25">
      <c r="A334" s="363"/>
      <c r="B334" s="82" t="s">
        <v>87</v>
      </c>
      <c r="C334" s="386"/>
      <c r="D334" s="386"/>
      <c r="E334" s="328"/>
      <c r="F334" s="386"/>
      <c r="G334" s="386"/>
      <c r="H334" s="386"/>
      <c r="I334" s="12"/>
      <c r="J334" s="28"/>
      <c r="K334" s="29"/>
      <c r="L334" s="25"/>
      <c r="M334" s="25"/>
      <c r="N334" s="25"/>
      <c r="O334" s="25"/>
      <c r="P334" s="25"/>
      <c r="Q334" s="25"/>
      <c r="R334" s="25"/>
      <c r="S334" s="25"/>
      <c r="T334" s="62">
        <v>0</v>
      </c>
      <c r="U334" s="308"/>
    </row>
    <row r="335" spans="1:22" ht="156" customHeight="1" x14ac:dyDescent="0.25">
      <c r="A335" s="363"/>
      <c r="B335" s="82" t="s">
        <v>88</v>
      </c>
      <c r="C335" s="386"/>
      <c r="D335" s="386"/>
      <c r="E335" s="328"/>
      <c r="F335" s="386"/>
      <c r="G335" s="386"/>
      <c r="H335" s="386"/>
      <c r="I335" s="12"/>
      <c r="J335" s="28"/>
      <c r="K335" s="29"/>
      <c r="L335" s="25"/>
      <c r="M335" s="25"/>
      <c r="N335" s="25"/>
      <c r="O335" s="25"/>
      <c r="P335" s="25"/>
      <c r="Q335" s="25"/>
      <c r="R335" s="25"/>
      <c r="S335" s="25"/>
      <c r="T335" s="62">
        <v>0</v>
      </c>
      <c r="U335" s="391"/>
    </row>
    <row r="336" spans="1:22" ht="36.6" customHeight="1" x14ac:dyDescent="0.25">
      <c r="A336" s="363"/>
      <c r="B336" s="135" t="s">
        <v>116</v>
      </c>
      <c r="C336" s="152"/>
      <c r="D336" s="16"/>
      <c r="E336" s="16"/>
      <c r="F336" s="16"/>
      <c r="G336" s="16"/>
      <c r="H336" s="16"/>
      <c r="I336" s="16"/>
      <c r="J336" s="16"/>
      <c r="K336" s="16"/>
      <c r="L336" s="18">
        <v>0</v>
      </c>
      <c r="M336" s="18">
        <f>M331+M332+M333+M334+M335</f>
        <v>0</v>
      </c>
      <c r="N336" s="18">
        <f t="shared" ref="N336:T336" si="61">N331+N332+N333+N334+N335</f>
        <v>0</v>
      </c>
      <c r="O336" s="18">
        <f t="shared" si="61"/>
        <v>0</v>
      </c>
      <c r="P336" s="18">
        <f t="shared" si="61"/>
        <v>0</v>
      </c>
      <c r="Q336" s="18">
        <f t="shared" si="61"/>
        <v>0</v>
      </c>
      <c r="R336" s="18">
        <f t="shared" si="61"/>
        <v>0</v>
      </c>
      <c r="S336" s="18">
        <f t="shared" si="61"/>
        <v>0</v>
      </c>
      <c r="T336" s="18">
        <f t="shared" si="61"/>
        <v>0</v>
      </c>
      <c r="U336" s="20"/>
    </row>
    <row r="337" spans="1:21" ht="60.75" customHeight="1" x14ac:dyDescent="0.25">
      <c r="A337" s="325">
        <v>26</v>
      </c>
      <c r="B337" s="200" t="s">
        <v>466</v>
      </c>
      <c r="C337" s="201" t="s">
        <v>44</v>
      </c>
      <c r="D337" s="354" t="s">
        <v>24</v>
      </c>
      <c r="E337" s="268" t="s">
        <v>510</v>
      </c>
      <c r="F337" s="271" t="s">
        <v>360</v>
      </c>
      <c r="G337" s="271" t="s">
        <v>64</v>
      </c>
      <c r="H337" s="271" t="s">
        <v>42</v>
      </c>
      <c r="I337" s="109"/>
      <c r="J337" s="191"/>
      <c r="K337" s="191"/>
      <c r="L337" s="202"/>
      <c r="M337" s="203"/>
      <c r="N337" s="203"/>
      <c r="O337" s="203"/>
      <c r="P337" s="202"/>
      <c r="Q337" s="202"/>
      <c r="R337" s="202"/>
      <c r="S337" s="202"/>
      <c r="T337" s="204">
        <f>L337+M337+N337+O337+P337+Q337+R337+S337</f>
        <v>0</v>
      </c>
      <c r="U337" s="287"/>
    </row>
    <row r="338" spans="1:21" ht="60.75" customHeight="1" x14ac:dyDescent="0.25">
      <c r="A338" s="325"/>
      <c r="B338" s="200" t="s">
        <v>361</v>
      </c>
      <c r="C338" s="201" t="s">
        <v>358</v>
      </c>
      <c r="D338" s="355"/>
      <c r="E338" s="269"/>
      <c r="F338" s="272"/>
      <c r="G338" s="272"/>
      <c r="H338" s="272"/>
      <c r="I338" s="109"/>
      <c r="J338" s="191"/>
      <c r="K338" s="191"/>
      <c r="L338" s="202">
        <v>3605.1</v>
      </c>
      <c r="M338" s="203">
        <v>7681.35</v>
      </c>
      <c r="N338" s="203">
        <v>5305.07</v>
      </c>
      <c r="O338" s="203">
        <v>6127.02</v>
      </c>
      <c r="P338" s="202"/>
      <c r="Q338" s="202">
        <v>6003.52</v>
      </c>
      <c r="R338" s="202"/>
      <c r="S338" s="202"/>
      <c r="T338" s="204">
        <f t="shared" ref="T338:T354" si="62">L338+M338+N338+O338+P338+Q338+R338+S338</f>
        <v>28722.06</v>
      </c>
      <c r="U338" s="288"/>
    </row>
    <row r="339" spans="1:21" ht="54.75" customHeight="1" x14ac:dyDescent="0.25">
      <c r="A339" s="325"/>
      <c r="B339" s="200" t="s">
        <v>362</v>
      </c>
      <c r="C339" s="201" t="s">
        <v>359</v>
      </c>
      <c r="D339" s="355"/>
      <c r="E339" s="269"/>
      <c r="F339" s="272"/>
      <c r="G339" s="272"/>
      <c r="H339" s="272"/>
      <c r="I339" s="109"/>
      <c r="J339" s="191"/>
      <c r="K339" s="191"/>
      <c r="L339" s="202"/>
      <c r="M339" s="203"/>
      <c r="N339" s="203"/>
      <c r="O339" s="203"/>
      <c r="P339" s="202"/>
      <c r="Q339" s="202"/>
      <c r="R339" s="202"/>
      <c r="S339" s="202"/>
      <c r="T339" s="204">
        <f t="shared" si="62"/>
        <v>0</v>
      </c>
      <c r="U339" s="197"/>
    </row>
    <row r="340" spans="1:21" ht="54.75" customHeight="1" x14ac:dyDescent="0.25">
      <c r="A340" s="325"/>
      <c r="B340" s="200" t="s">
        <v>363</v>
      </c>
      <c r="C340" s="201" t="s">
        <v>358</v>
      </c>
      <c r="D340" s="355"/>
      <c r="E340" s="269"/>
      <c r="F340" s="272"/>
      <c r="G340" s="272"/>
      <c r="H340" s="272"/>
      <c r="I340" s="109"/>
      <c r="J340" s="191"/>
      <c r="K340" s="191"/>
      <c r="L340" s="202"/>
      <c r="M340" s="203">
        <v>11878.49</v>
      </c>
      <c r="N340" s="203">
        <v>11370.29</v>
      </c>
      <c r="O340" s="203"/>
      <c r="P340" s="202">
        <v>5771.42</v>
      </c>
      <c r="Q340" s="202">
        <v>404.37</v>
      </c>
      <c r="R340" s="202">
        <v>416.66</v>
      </c>
      <c r="S340" s="202"/>
      <c r="T340" s="204">
        <f t="shared" si="62"/>
        <v>29841.229999999996</v>
      </c>
      <c r="U340" s="197"/>
    </row>
    <row r="341" spans="1:21" ht="57.75" customHeight="1" x14ac:dyDescent="0.25">
      <c r="A341" s="325"/>
      <c r="B341" s="200" t="s">
        <v>364</v>
      </c>
      <c r="C341" s="201" t="s">
        <v>358</v>
      </c>
      <c r="D341" s="355"/>
      <c r="E341" s="269"/>
      <c r="F341" s="272"/>
      <c r="G341" s="272"/>
      <c r="H341" s="272"/>
      <c r="I341" s="109"/>
      <c r="J341" s="191"/>
      <c r="K341" s="191"/>
      <c r="L341" s="202">
        <v>98.42</v>
      </c>
      <c r="M341" s="203">
        <v>77.23</v>
      </c>
      <c r="N341" s="203"/>
      <c r="O341" s="203">
        <v>3834</v>
      </c>
      <c r="P341" s="202"/>
      <c r="Q341" s="202">
        <v>2568.88</v>
      </c>
      <c r="R341" s="202"/>
      <c r="S341" s="202"/>
      <c r="T341" s="204">
        <f t="shared" si="62"/>
        <v>6578.5300000000007</v>
      </c>
      <c r="U341" s="197"/>
    </row>
    <row r="342" spans="1:21" ht="63.75" customHeight="1" x14ac:dyDescent="0.25">
      <c r="A342" s="325"/>
      <c r="B342" s="200" t="s">
        <v>365</v>
      </c>
      <c r="C342" s="201" t="s">
        <v>358</v>
      </c>
      <c r="D342" s="355"/>
      <c r="E342" s="269"/>
      <c r="F342" s="272"/>
      <c r="G342" s="272"/>
      <c r="H342" s="272"/>
      <c r="I342" s="109"/>
      <c r="J342" s="191"/>
      <c r="K342" s="191"/>
      <c r="L342" s="202">
        <v>16926.75</v>
      </c>
      <c r="M342" s="203">
        <v>29363.96</v>
      </c>
      <c r="N342" s="203">
        <v>29201</v>
      </c>
      <c r="O342" s="203"/>
      <c r="P342" s="202">
        <v>600</v>
      </c>
      <c r="Q342" s="202"/>
      <c r="R342" s="202">
        <v>12000</v>
      </c>
      <c r="S342" s="202"/>
      <c r="T342" s="204">
        <f t="shared" si="62"/>
        <v>88091.709999999992</v>
      </c>
      <c r="U342" s="197"/>
    </row>
    <row r="343" spans="1:21" ht="62.25" customHeight="1" x14ac:dyDescent="0.25">
      <c r="A343" s="325"/>
      <c r="B343" s="200" t="s">
        <v>366</v>
      </c>
      <c r="C343" s="201" t="s">
        <v>358</v>
      </c>
      <c r="D343" s="355"/>
      <c r="E343" s="269"/>
      <c r="F343" s="272"/>
      <c r="G343" s="272"/>
      <c r="H343" s="272"/>
      <c r="I343" s="109"/>
      <c r="J343" s="191"/>
      <c r="K343" s="191"/>
      <c r="L343" s="202">
        <v>509.13</v>
      </c>
      <c r="M343" s="203">
        <v>3010.02</v>
      </c>
      <c r="N343" s="203">
        <v>3136.99</v>
      </c>
      <c r="O343" s="203"/>
      <c r="P343" s="202"/>
      <c r="Q343" s="202"/>
      <c r="R343" s="202"/>
      <c r="S343" s="202"/>
      <c r="T343" s="204">
        <f t="shared" si="62"/>
        <v>6656.1399999999994</v>
      </c>
      <c r="U343" s="197"/>
    </row>
    <row r="344" spans="1:21" ht="62.25" customHeight="1" x14ac:dyDescent="0.25">
      <c r="A344" s="325"/>
      <c r="B344" s="200" t="s">
        <v>356</v>
      </c>
      <c r="C344" s="201" t="s">
        <v>358</v>
      </c>
      <c r="D344" s="355"/>
      <c r="E344" s="269"/>
      <c r="F344" s="272"/>
      <c r="G344" s="272"/>
      <c r="H344" s="272"/>
      <c r="I344" s="109"/>
      <c r="J344" s="191"/>
      <c r="K344" s="191"/>
      <c r="L344" s="202">
        <v>2099.8200000000002</v>
      </c>
      <c r="M344" s="203">
        <v>6.21</v>
      </c>
      <c r="N344" s="203"/>
      <c r="O344" s="203"/>
      <c r="P344" s="202"/>
      <c r="Q344" s="202">
        <v>5.08</v>
      </c>
      <c r="R344" s="202"/>
      <c r="S344" s="202"/>
      <c r="T344" s="204">
        <f t="shared" si="62"/>
        <v>2111.11</v>
      </c>
      <c r="U344" s="197"/>
    </row>
    <row r="345" spans="1:21" ht="67.5" customHeight="1" x14ac:dyDescent="0.25">
      <c r="A345" s="325"/>
      <c r="B345" s="200" t="s">
        <v>367</v>
      </c>
      <c r="C345" s="201" t="s">
        <v>358</v>
      </c>
      <c r="D345" s="355"/>
      <c r="E345" s="269"/>
      <c r="F345" s="272"/>
      <c r="G345" s="272"/>
      <c r="H345" s="272"/>
      <c r="I345" s="109"/>
      <c r="J345" s="191"/>
      <c r="K345" s="191"/>
      <c r="L345" s="202">
        <v>49.09</v>
      </c>
      <c r="M345" s="203">
        <v>788.54</v>
      </c>
      <c r="N345" s="203"/>
      <c r="O345" s="203"/>
      <c r="P345" s="202"/>
      <c r="Q345" s="202">
        <v>184.15</v>
      </c>
      <c r="R345" s="202">
        <v>8.5500000000000007</v>
      </c>
      <c r="S345" s="202"/>
      <c r="T345" s="204">
        <f t="shared" si="62"/>
        <v>1030.33</v>
      </c>
      <c r="U345" s="197"/>
    </row>
    <row r="346" spans="1:21" ht="62.25" customHeight="1" x14ac:dyDescent="0.25">
      <c r="A346" s="325"/>
      <c r="B346" s="200" t="s">
        <v>368</v>
      </c>
      <c r="C346" s="201" t="s">
        <v>358</v>
      </c>
      <c r="D346" s="355"/>
      <c r="E346" s="269"/>
      <c r="F346" s="272"/>
      <c r="G346" s="272"/>
      <c r="H346" s="272"/>
      <c r="I346" s="109"/>
      <c r="J346" s="191"/>
      <c r="K346" s="191"/>
      <c r="L346" s="202">
        <v>1E-4</v>
      </c>
      <c r="M346" s="203">
        <v>1005.36</v>
      </c>
      <c r="N346" s="203">
        <v>607.61</v>
      </c>
      <c r="O346" s="203">
        <v>1335.1</v>
      </c>
      <c r="P346" s="202">
        <v>85.32</v>
      </c>
      <c r="Q346" s="202">
        <v>35.08</v>
      </c>
      <c r="R346" s="202"/>
      <c r="S346" s="202"/>
      <c r="T346" s="204">
        <f t="shared" si="62"/>
        <v>3068.4701</v>
      </c>
      <c r="U346" s="197"/>
    </row>
    <row r="347" spans="1:21" ht="58.5" customHeight="1" x14ac:dyDescent="0.25">
      <c r="A347" s="325"/>
      <c r="B347" s="200" t="s">
        <v>369</v>
      </c>
      <c r="C347" s="201" t="s">
        <v>358</v>
      </c>
      <c r="D347" s="355"/>
      <c r="E347" s="269"/>
      <c r="F347" s="272"/>
      <c r="G347" s="272"/>
      <c r="H347" s="272"/>
      <c r="I347" s="109"/>
      <c r="J347" s="191"/>
      <c r="K347" s="191"/>
      <c r="L347" s="202">
        <v>11045.9</v>
      </c>
      <c r="M347" s="203">
        <v>2888.25</v>
      </c>
      <c r="N347" s="203">
        <v>10923.01</v>
      </c>
      <c r="O347" s="203"/>
      <c r="P347" s="202"/>
      <c r="Q347" s="202"/>
      <c r="R347" s="202"/>
      <c r="S347" s="202"/>
      <c r="T347" s="204">
        <f t="shared" si="62"/>
        <v>24857.16</v>
      </c>
      <c r="U347" s="197"/>
    </row>
    <row r="348" spans="1:21" ht="60" customHeight="1" x14ac:dyDescent="0.25">
      <c r="A348" s="325"/>
      <c r="B348" s="200" t="s">
        <v>370</v>
      </c>
      <c r="C348" s="201" t="s">
        <v>82</v>
      </c>
      <c r="D348" s="355"/>
      <c r="E348" s="269"/>
      <c r="F348" s="272"/>
      <c r="G348" s="272"/>
      <c r="H348" s="272"/>
      <c r="I348" s="109"/>
      <c r="J348" s="191"/>
      <c r="K348" s="191"/>
      <c r="L348" s="202">
        <v>668.45</v>
      </c>
      <c r="M348" s="203">
        <v>9.56</v>
      </c>
      <c r="N348" s="203"/>
      <c r="O348" s="203"/>
      <c r="P348" s="202"/>
      <c r="Q348" s="202">
        <v>13.37</v>
      </c>
      <c r="R348" s="202"/>
      <c r="S348" s="202"/>
      <c r="T348" s="204">
        <f t="shared" si="62"/>
        <v>691.38</v>
      </c>
      <c r="U348" s="197"/>
    </row>
    <row r="349" spans="1:21" ht="57.75" customHeight="1" x14ac:dyDescent="0.25">
      <c r="A349" s="325"/>
      <c r="B349" s="200" t="s">
        <v>371</v>
      </c>
      <c r="C349" s="201" t="s">
        <v>358</v>
      </c>
      <c r="D349" s="355"/>
      <c r="E349" s="269"/>
      <c r="F349" s="272"/>
      <c r="G349" s="272"/>
      <c r="H349" s="272"/>
      <c r="I349" s="109"/>
      <c r="J349" s="191"/>
      <c r="K349" s="191"/>
      <c r="L349" s="202">
        <v>1.57</v>
      </c>
      <c r="M349" s="203">
        <v>1941.5</v>
      </c>
      <c r="N349" s="203"/>
      <c r="O349" s="203"/>
      <c r="P349" s="202"/>
      <c r="Q349" s="202"/>
      <c r="R349" s="202"/>
      <c r="S349" s="202"/>
      <c r="T349" s="204">
        <f t="shared" si="62"/>
        <v>1943.07</v>
      </c>
      <c r="U349" s="197"/>
    </row>
    <row r="350" spans="1:21" ht="62.25" customHeight="1" x14ac:dyDescent="0.25">
      <c r="A350" s="325"/>
      <c r="B350" s="200" t="s">
        <v>372</v>
      </c>
      <c r="C350" s="201" t="s">
        <v>82</v>
      </c>
      <c r="D350" s="355"/>
      <c r="E350" s="269"/>
      <c r="F350" s="272"/>
      <c r="G350" s="272"/>
      <c r="H350" s="272"/>
      <c r="I350" s="109"/>
      <c r="J350" s="191"/>
      <c r="K350" s="191"/>
      <c r="L350" s="202">
        <v>91.63</v>
      </c>
      <c r="M350" s="203">
        <v>3.36</v>
      </c>
      <c r="N350" s="203"/>
      <c r="O350" s="203"/>
      <c r="P350" s="202"/>
      <c r="Q350" s="202">
        <v>170</v>
      </c>
      <c r="R350" s="202"/>
      <c r="S350" s="202"/>
      <c r="T350" s="204">
        <f t="shared" si="62"/>
        <v>264.99</v>
      </c>
      <c r="U350" s="197"/>
    </row>
    <row r="351" spans="1:21" ht="45" customHeight="1" x14ac:dyDescent="0.25">
      <c r="A351" s="325"/>
      <c r="B351" s="200" t="s">
        <v>373</v>
      </c>
      <c r="C351" s="201" t="s">
        <v>82</v>
      </c>
      <c r="D351" s="355"/>
      <c r="E351" s="269"/>
      <c r="F351" s="272"/>
      <c r="G351" s="272"/>
      <c r="H351" s="272"/>
      <c r="I351" s="109"/>
      <c r="J351" s="191"/>
      <c r="K351" s="191"/>
      <c r="L351" s="202">
        <v>273.06</v>
      </c>
      <c r="M351" s="203">
        <v>139.63</v>
      </c>
      <c r="N351" s="203"/>
      <c r="O351" s="203"/>
      <c r="P351" s="202"/>
      <c r="Q351" s="202">
        <v>18</v>
      </c>
      <c r="R351" s="202"/>
      <c r="S351" s="202"/>
      <c r="T351" s="204">
        <f t="shared" si="62"/>
        <v>430.69</v>
      </c>
      <c r="U351" s="197"/>
    </row>
    <row r="352" spans="1:21" ht="56.25" customHeight="1" x14ac:dyDescent="0.25">
      <c r="A352" s="325"/>
      <c r="B352" s="200" t="s">
        <v>374</v>
      </c>
      <c r="C352" s="201" t="s">
        <v>358</v>
      </c>
      <c r="D352" s="355"/>
      <c r="E352" s="269"/>
      <c r="F352" s="272"/>
      <c r="G352" s="272"/>
      <c r="H352" s="272"/>
      <c r="I352" s="109"/>
      <c r="J352" s="191"/>
      <c r="K352" s="191"/>
      <c r="L352" s="202">
        <v>15</v>
      </c>
      <c r="M352" s="203">
        <v>118.08</v>
      </c>
      <c r="N352" s="203">
        <v>9.98</v>
      </c>
      <c r="O352" s="203"/>
      <c r="P352" s="202"/>
      <c r="Q352" s="202">
        <v>195.69</v>
      </c>
      <c r="R352" s="202">
        <v>47.53</v>
      </c>
      <c r="S352" s="202"/>
      <c r="T352" s="204">
        <f t="shared" si="62"/>
        <v>386.28</v>
      </c>
      <c r="U352" s="197"/>
    </row>
    <row r="353" spans="1:21" ht="35.25" customHeight="1" x14ac:dyDescent="0.25">
      <c r="A353" s="325"/>
      <c r="B353" s="200" t="s">
        <v>357</v>
      </c>
      <c r="C353" s="201" t="s">
        <v>82</v>
      </c>
      <c r="D353" s="356"/>
      <c r="E353" s="270"/>
      <c r="F353" s="273"/>
      <c r="G353" s="273"/>
      <c r="H353" s="273"/>
      <c r="I353" s="109"/>
      <c r="J353" s="191"/>
      <c r="K353" s="191"/>
      <c r="L353" s="202"/>
      <c r="M353" s="203"/>
      <c r="N353" s="203"/>
      <c r="O353" s="203"/>
      <c r="P353" s="202"/>
      <c r="Q353" s="202"/>
      <c r="R353" s="202"/>
      <c r="S353" s="202"/>
      <c r="T353" s="204">
        <f t="shared" si="62"/>
        <v>0</v>
      </c>
      <c r="U353" s="197"/>
    </row>
    <row r="354" spans="1:21" ht="34.9" customHeight="1" x14ac:dyDescent="0.25">
      <c r="A354" s="325"/>
      <c r="B354" s="135" t="s">
        <v>116</v>
      </c>
      <c r="C354" s="152"/>
      <c r="D354" s="16"/>
      <c r="E354" s="16"/>
      <c r="F354" s="16"/>
      <c r="G354" s="16"/>
      <c r="H354" s="16"/>
      <c r="I354" s="198"/>
      <c r="J354" s="198"/>
      <c r="K354" s="198"/>
      <c r="L354" s="18">
        <f>L337+L338+L339+L340+L341+L342+L343+L344+L345+L346+L347+L348+L349+L350+L351+L352+L353</f>
        <v>35383.920099999996</v>
      </c>
      <c r="M354" s="18">
        <f t="shared" ref="M354:S354" si="63">M337+M338+M339+M340+M341+M342+M343+M344+M345+M346+M347+M348+M349+M350+M351+M352+M353</f>
        <v>58911.539999999994</v>
      </c>
      <c r="N354" s="18">
        <f t="shared" si="63"/>
        <v>60553.950000000004</v>
      </c>
      <c r="O354" s="18">
        <f t="shared" si="63"/>
        <v>11296.12</v>
      </c>
      <c r="P354" s="18">
        <f t="shared" si="63"/>
        <v>6456.74</v>
      </c>
      <c r="Q354" s="18">
        <f t="shared" si="63"/>
        <v>9598.1400000000012</v>
      </c>
      <c r="R354" s="18">
        <f t="shared" si="63"/>
        <v>12472.74</v>
      </c>
      <c r="S354" s="18">
        <f t="shared" si="63"/>
        <v>0</v>
      </c>
      <c r="T354" s="199">
        <f t="shared" si="62"/>
        <v>194673.1501</v>
      </c>
      <c r="U354" s="20"/>
    </row>
    <row r="355" spans="1:21" ht="104.25" customHeight="1" x14ac:dyDescent="0.25">
      <c r="A355" s="432">
        <v>27</v>
      </c>
      <c r="B355" s="264" t="s">
        <v>534</v>
      </c>
      <c r="C355" s="263" t="s">
        <v>82</v>
      </c>
      <c r="D355" s="263" t="s">
        <v>24</v>
      </c>
      <c r="E355" s="261" t="s">
        <v>533</v>
      </c>
      <c r="F355" s="266"/>
      <c r="G355" s="263" t="s">
        <v>42</v>
      </c>
      <c r="H355" s="263" t="s">
        <v>42</v>
      </c>
      <c r="I355" s="261"/>
      <c r="J355" s="261"/>
      <c r="K355" s="261"/>
      <c r="L355" s="15"/>
      <c r="M355" s="15"/>
      <c r="N355" s="15"/>
      <c r="O355" s="15"/>
      <c r="P355" s="15"/>
      <c r="Q355" s="15"/>
      <c r="R355" s="15"/>
      <c r="S355" s="15"/>
      <c r="T355" s="170">
        <f>L355+M355+N355+O355+P355+Q355+R355+S355</f>
        <v>0</v>
      </c>
      <c r="U355" s="267"/>
    </row>
    <row r="356" spans="1:21" ht="34.9" customHeight="1" x14ac:dyDescent="0.25">
      <c r="A356" s="433"/>
      <c r="B356" s="265"/>
      <c r="C356" s="224"/>
      <c r="D356" s="16"/>
      <c r="E356" s="16"/>
      <c r="F356" s="16"/>
      <c r="G356" s="16"/>
      <c r="H356" s="16"/>
      <c r="I356" s="224"/>
      <c r="J356" s="224"/>
      <c r="K356" s="224"/>
      <c r="L356" s="18">
        <f>L355</f>
        <v>0</v>
      </c>
      <c r="M356" s="18">
        <f t="shared" ref="M356:T356" si="64">M355</f>
        <v>0</v>
      </c>
      <c r="N356" s="18">
        <f t="shared" si="64"/>
        <v>0</v>
      </c>
      <c r="O356" s="18">
        <f t="shared" si="64"/>
        <v>0</v>
      </c>
      <c r="P356" s="18">
        <f t="shared" si="64"/>
        <v>0</v>
      </c>
      <c r="Q356" s="18">
        <f t="shared" si="64"/>
        <v>0</v>
      </c>
      <c r="R356" s="18">
        <f t="shared" si="64"/>
        <v>0</v>
      </c>
      <c r="S356" s="18">
        <f t="shared" si="64"/>
        <v>0</v>
      </c>
      <c r="T356" s="18">
        <f t="shared" si="64"/>
        <v>0</v>
      </c>
      <c r="U356" s="20"/>
    </row>
    <row r="357" spans="1:21" s="11" customFormat="1" ht="33" customHeight="1" x14ac:dyDescent="0.25">
      <c r="A357" s="246"/>
      <c r="B357" s="434" t="s">
        <v>120</v>
      </c>
      <c r="C357" s="435"/>
      <c r="D357" s="435"/>
      <c r="E357" s="435"/>
      <c r="F357" s="435"/>
      <c r="G357" s="435"/>
      <c r="H357" s="436"/>
      <c r="I357" s="247"/>
      <c r="J357" s="247"/>
      <c r="K357" s="247"/>
      <c r="L357" s="248">
        <f>L356+L354+L336+L330+L327</f>
        <v>35383.920099999996</v>
      </c>
      <c r="M357" s="248">
        <f t="shared" ref="M357:T357" si="65">M356+M354+M336+M330+M327</f>
        <v>58911.539999999994</v>
      </c>
      <c r="N357" s="248">
        <f t="shared" si="65"/>
        <v>60553.950000000004</v>
      </c>
      <c r="O357" s="248">
        <f t="shared" si="65"/>
        <v>11296.12</v>
      </c>
      <c r="P357" s="248">
        <f t="shared" si="65"/>
        <v>6456.74</v>
      </c>
      <c r="Q357" s="248">
        <f t="shared" si="65"/>
        <v>9598.1400000000012</v>
      </c>
      <c r="R357" s="248">
        <f t="shared" si="65"/>
        <v>12472.74</v>
      </c>
      <c r="S357" s="248">
        <f t="shared" si="65"/>
        <v>0</v>
      </c>
      <c r="T357" s="248">
        <f t="shared" si="65"/>
        <v>194673.1501</v>
      </c>
      <c r="U357" s="249"/>
    </row>
    <row r="358" spans="1:21" ht="33" customHeight="1" x14ac:dyDescent="0.25">
      <c r="A358" s="327" t="s">
        <v>117</v>
      </c>
      <c r="B358" s="327"/>
      <c r="C358" s="327"/>
      <c r="D358" s="327"/>
      <c r="E358" s="327"/>
      <c r="F358" s="327"/>
      <c r="G358" s="327"/>
      <c r="H358" s="327"/>
      <c r="I358" s="327"/>
      <c r="J358" s="327"/>
      <c r="K358" s="327"/>
      <c r="L358" s="327"/>
      <c r="M358" s="327"/>
      <c r="N358" s="327"/>
      <c r="O358" s="327"/>
      <c r="P358" s="327"/>
      <c r="Q358" s="327"/>
      <c r="R358" s="327"/>
      <c r="S358" s="327"/>
      <c r="T358" s="327"/>
      <c r="U358" s="327"/>
    </row>
    <row r="359" spans="1:21" s="1" customFormat="1" ht="59.45" customHeight="1" collapsed="1" x14ac:dyDescent="0.25">
      <c r="A359" s="372">
        <v>28</v>
      </c>
      <c r="B359" s="141" t="s">
        <v>509</v>
      </c>
      <c r="C359" s="286" t="s">
        <v>23</v>
      </c>
      <c r="D359" s="286" t="s">
        <v>24</v>
      </c>
      <c r="E359" s="328" t="s">
        <v>121</v>
      </c>
      <c r="F359" s="283" t="s">
        <v>122</v>
      </c>
      <c r="G359" s="283" t="s">
        <v>69</v>
      </c>
      <c r="H359" s="283" t="s">
        <v>217</v>
      </c>
      <c r="I359" s="58" t="s">
        <v>27</v>
      </c>
      <c r="J359" s="56"/>
      <c r="K359" s="56" t="s">
        <v>70</v>
      </c>
      <c r="L359" s="90"/>
      <c r="M359" s="90"/>
      <c r="N359" s="91"/>
      <c r="O359" s="92"/>
      <c r="P359" s="14">
        <v>1088.367</v>
      </c>
      <c r="Q359" s="14">
        <v>1769.3620000000001</v>
      </c>
      <c r="R359" s="14">
        <v>1058.454</v>
      </c>
      <c r="S359" s="14">
        <v>0</v>
      </c>
      <c r="T359" s="15">
        <f>SUM(P359:S359)</f>
        <v>3916.183</v>
      </c>
      <c r="U359" s="400"/>
    </row>
    <row r="360" spans="1:21" s="1" customFormat="1" ht="60" customHeight="1" x14ac:dyDescent="0.25">
      <c r="A360" s="372"/>
      <c r="B360" s="121" t="s">
        <v>123</v>
      </c>
      <c r="C360" s="286"/>
      <c r="D360" s="286"/>
      <c r="E360" s="328"/>
      <c r="F360" s="284"/>
      <c r="G360" s="284"/>
      <c r="H360" s="284"/>
      <c r="I360" s="58"/>
      <c r="J360" s="56"/>
      <c r="K360" s="56"/>
      <c r="L360" s="90"/>
      <c r="M360" s="90"/>
      <c r="N360" s="91"/>
      <c r="O360" s="92"/>
      <c r="P360" s="91"/>
      <c r="Q360" s="91"/>
      <c r="R360" s="91"/>
      <c r="S360" s="91"/>
      <c r="T360" s="15">
        <v>0</v>
      </c>
      <c r="U360" s="401"/>
    </row>
    <row r="361" spans="1:21" s="1" customFormat="1" ht="66" customHeight="1" x14ac:dyDescent="0.25">
      <c r="A361" s="372"/>
      <c r="B361" s="121" t="s">
        <v>124</v>
      </c>
      <c r="C361" s="286"/>
      <c r="D361" s="286"/>
      <c r="E361" s="328"/>
      <c r="F361" s="284"/>
      <c r="G361" s="284"/>
      <c r="H361" s="284"/>
      <c r="I361" s="58"/>
      <c r="J361" s="56"/>
      <c r="K361" s="56"/>
      <c r="L361" s="90"/>
      <c r="M361" s="90"/>
      <c r="N361" s="91"/>
      <c r="O361" s="92"/>
      <c r="P361" s="91"/>
      <c r="Q361" s="91"/>
      <c r="R361" s="91"/>
      <c r="S361" s="91"/>
      <c r="T361" s="15">
        <v>0</v>
      </c>
      <c r="U361" s="401"/>
    </row>
    <row r="362" spans="1:21" s="1" customFormat="1" ht="62.25" customHeight="1" x14ac:dyDescent="0.25">
      <c r="A362" s="372"/>
      <c r="B362" s="121" t="s">
        <v>125</v>
      </c>
      <c r="C362" s="286"/>
      <c r="D362" s="286"/>
      <c r="E362" s="328"/>
      <c r="F362" s="285"/>
      <c r="G362" s="285"/>
      <c r="H362" s="285"/>
      <c r="I362" s="58"/>
      <c r="J362" s="56"/>
      <c r="K362" s="56"/>
      <c r="L362" s="90"/>
      <c r="M362" s="90"/>
      <c r="N362" s="91"/>
      <c r="O362" s="92"/>
      <c r="P362" s="91"/>
      <c r="Q362" s="91"/>
      <c r="R362" s="91"/>
      <c r="S362" s="91"/>
      <c r="T362" s="15">
        <v>0</v>
      </c>
      <c r="U362" s="402"/>
    </row>
    <row r="363" spans="1:21" s="1" customFormat="1" ht="27.75" customHeight="1" collapsed="1" x14ac:dyDescent="0.25">
      <c r="A363" s="372"/>
      <c r="B363" s="380" t="s">
        <v>116</v>
      </c>
      <c r="C363" s="381"/>
      <c r="D363" s="381"/>
      <c r="E363" s="382"/>
      <c r="F363" s="85"/>
      <c r="G363" s="85"/>
      <c r="H363" s="85"/>
      <c r="I363" s="86"/>
      <c r="J363" s="93"/>
      <c r="K363" s="93"/>
      <c r="L363" s="18">
        <f t="shared" ref="L363" si="66">SUM(L359:L362)</f>
        <v>0</v>
      </c>
      <c r="M363" s="18">
        <f>M359+M360+M361+M362</f>
        <v>0</v>
      </c>
      <c r="N363" s="18">
        <f t="shared" ref="N363:T363" si="67">N359+N360+N361+N362</f>
        <v>0</v>
      </c>
      <c r="O363" s="18">
        <f t="shared" si="67"/>
        <v>0</v>
      </c>
      <c r="P363" s="18">
        <f t="shared" si="67"/>
        <v>1088.367</v>
      </c>
      <c r="Q363" s="18">
        <f t="shared" si="67"/>
        <v>1769.3620000000001</v>
      </c>
      <c r="R363" s="18">
        <f t="shared" si="67"/>
        <v>1058.454</v>
      </c>
      <c r="S363" s="18">
        <f t="shared" si="67"/>
        <v>0</v>
      </c>
      <c r="T363" s="18">
        <f t="shared" si="67"/>
        <v>3916.183</v>
      </c>
      <c r="U363" s="89"/>
    </row>
    <row r="364" spans="1:21" s="1" customFormat="1" ht="38.25" customHeight="1" collapsed="1" x14ac:dyDescent="0.25">
      <c r="A364" s="363">
        <v>29</v>
      </c>
      <c r="B364" s="279" t="s">
        <v>162</v>
      </c>
      <c r="C364" s="286" t="s">
        <v>23</v>
      </c>
      <c r="D364" s="286" t="s">
        <v>24</v>
      </c>
      <c r="E364" s="392" t="s">
        <v>314</v>
      </c>
      <c r="F364" s="283" t="s">
        <v>26</v>
      </c>
      <c r="G364" s="283" t="s">
        <v>72</v>
      </c>
      <c r="H364" s="283" t="s">
        <v>38</v>
      </c>
      <c r="I364" s="394" t="s">
        <v>27</v>
      </c>
      <c r="J364" s="397">
        <v>207</v>
      </c>
      <c r="K364" s="30" t="s">
        <v>210</v>
      </c>
      <c r="L364" s="90"/>
      <c r="M364" s="90"/>
      <c r="N364" s="101"/>
      <c r="O364" s="30">
        <f>2175.55+16.15</f>
        <v>2191.7000000000003</v>
      </c>
      <c r="P364" s="30">
        <f>1423.7+38.4</f>
        <v>1462.1000000000001</v>
      </c>
      <c r="Q364" s="30">
        <v>69.016999999999996</v>
      </c>
      <c r="R364" s="30">
        <f>71.631+40.087</f>
        <v>111.718</v>
      </c>
      <c r="S364" s="30"/>
      <c r="T364" s="15">
        <f t="shared" ref="T364:T371" si="68">R364+Q364+P364+O364</f>
        <v>3834.5350000000003</v>
      </c>
      <c r="U364" s="400"/>
    </row>
    <row r="365" spans="1:21" s="1" customFormat="1" ht="33.75" customHeight="1" x14ac:dyDescent="0.25">
      <c r="A365" s="363"/>
      <c r="B365" s="280"/>
      <c r="C365" s="286"/>
      <c r="D365" s="286"/>
      <c r="E365" s="393"/>
      <c r="F365" s="284"/>
      <c r="G365" s="284"/>
      <c r="H365" s="284"/>
      <c r="I365" s="395"/>
      <c r="J365" s="398"/>
      <c r="K365" s="30" t="s">
        <v>211</v>
      </c>
      <c r="L365" s="90"/>
      <c r="M365" s="90"/>
      <c r="N365" s="101"/>
      <c r="O365" s="30">
        <f>49.27+31.88+31.75</f>
        <v>112.9</v>
      </c>
      <c r="P365" s="30">
        <f>62.602+40.092+53.46+32.4</f>
        <v>188.554</v>
      </c>
      <c r="Q365" s="30">
        <f>62.602+40.092+1000+28.586+300</f>
        <v>1431.28</v>
      </c>
      <c r="R365" s="30">
        <v>4738.5169999999998</v>
      </c>
      <c r="S365" s="30"/>
      <c r="T365" s="15">
        <f t="shared" si="68"/>
        <v>6471.2509999999993</v>
      </c>
      <c r="U365" s="401"/>
    </row>
    <row r="366" spans="1:21" s="1" customFormat="1" ht="40.5" customHeight="1" x14ac:dyDescent="0.25">
      <c r="A366" s="363"/>
      <c r="B366" s="280"/>
      <c r="C366" s="286"/>
      <c r="D366" s="286"/>
      <c r="E366" s="393"/>
      <c r="F366" s="284"/>
      <c r="G366" s="284"/>
      <c r="H366" s="284"/>
      <c r="I366" s="395"/>
      <c r="J366" s="398"/>
      <c r="K366" s="30" t="s">
        <v>212</v>
      </c>
      <c r="L366" s="90"/>
      <c r="M366" s="90"/>
      <c r="N366" s="101"/>
      <c r="O366" s="30">
        <v>132.13999999999999</v>
      </c>
      <c r="P366" s="30">
        <v>113.696</v>
      </c>
      <c r="Q366" s="30">
        <v>134.33000000000001</v>
      </c>
      <c r="R366" s="30">
        <v>175.279</v>
      </c>
      <c r="S366" s="30"/>
      <c r="T366" s="15">
        <f t="shared" si="68"/>
        <v>555.44500000000005</v>
      </c>
      <c r="U366" s="401"/>
    </row>
    <row r="367" spans="1:21" s="1" customFormat="1" ht="36.75" customHeight="1" x14ac:dyDescent="0.25">
      <c r="A367" s="363"/>
      <c r="B367" s="280"/>
      <c r="C367" s="286"/>
      <c r="D367" s="286"/>
      <c r="E367" s="393"/>
      <c r="F367" s="284"/>
      <c r="G367" s="284"/>
      <c r="H367" s="284"/>
      <c r="I367" s="395"/>
      <c r="J367" s="398"/>
      <c r="K367" s="30" t="s">
        <v>213</v>
      </c>
      <c r="L367" s="90"/>
      <c r="M367" s="90"/>
      <c r="N367" s="101"/>
      <c r="O367" s="30">
        <v>7804.44</v>
      </c>
      <c r="P367" s="30">
        <v>7799.1319999999996</v>
      </c>
      <c r="Q367" s="30">
        <v>7803.9229999999998</v>
      </c>
      <c r="R367" s="30">
        <v>7819.65</v>
      </c>
      <c r="S367" s="30"/>
      <c r="T367" s="15">
        <f t="shared" si="68"/>
        <v>31227.145</v>
      </c>
      <c r="U367" s="401"/>
    </row>
    <row r="368" spans="1:21" s="1" customFormat="1" ht="37.5" customHeight="1" x14ac:dyDescent="0.25">
      <c r="A368" s="363"/>
      <c r="B368" s="281"/>
      <c r="C368" s="286"/>
      <c r="D368" s="286"/>
      <c r="E368" s="393"/>
      <c r="F368" s="284"/>
      <c r="G368" s="284"/>
      <c r="H368" s="284"/>
      <c r="I368" s="395"/>
      <c r="J368" s="398"/>
      <c r="K368" s="30" t="s">
        <v>214</v>
      </c>
      <c r="L368" s="90"/>
      <c r="M368" s="90"/>
      <c r="N368" s="101"/>
      <c r="O368" s="30">
        <v>945.28</v>
      </c>
      <c r="P368" s="30">
        <v>649.83799999999997</v>
      </c>
      <c r="Q368" s="30">
        <v>649.83799999999997</v>
      </c>
      <c r="R368" s="30">
        <v>494.33</v>
      </c>
      <c r="S368" s="30"/>
      <c r="T368" s="15">
        <f t="shared" si="68"/>
        <v>2739.2860000000001</v>
      </c>
      <c r="U368" s="401"/>
    </row>
    <row r="369" spans="1:21" s="1" customFormat="1" ht="79.5" customHeight="1" x14ac:dyDescent="0.25">
      <c r="A369" s="363"/>
      <c r="B369" s="33" t="s">
        <v>215</v>
      </c>
      <c r="C369" s="286"/>
      <c r="D369" s="286"/>
      <c r="E369" s="393"/>
      <c r="F369" s="284"/>
      <c r="G369" s="284"/>
      <c r="H369" s="284"/>
      <c r="I369" s="395"/>
      <c r="J369" s="398"/>
      <c r="K369" s="99" t="s">
        <v>210</v>
      </c>
      <c r="L369" s="90"/>
      <c r="M369" s="90"/>
      <c r="N369" s="101"/>
      <c r="O369" s="30">
        <v>57.926000000000002</v>
      </c>
      <c r="P369" s="30">
        <v>176.12200000000001</v>
      </c>
      <c r="Q369" s="30">
        <v>27.222000000000001</v>
      </c>
      <c r="R369" s="30">
        <v>216.476</v>
      </c>
      <c r="S369" s="30"/>
      <c r="T369" s="15">
        <f t="shared" si="68"/>
        <v>477.74600000000004</v>
      </c>
      <c r="U369" s="401"/>
    </row>
    <row r="370" spans="1:21" s="1" customFormat="1" ht="46.9" customHeight="1" x14ac:dyDescent="0.25">
      <c r="A370" s="363"/>
      <c r="B370" s="33" t="s">
        <v>477</v>
      </c>
      <c r="C370" s="286"/>
      <c r="D370" s="286"/>
      <c r="E370" s="393"/>
      <c r="F370" s="284"/>
      <c r="G370" s="284"/>
      <c r="H370" s="284"/>
      <c r="I370" s="395"/>
      <c r="J370" s="398"/>
      <c r="K370" s="99" t="s">
        <v>39</v>
      </c>
      <c r="L370" s="90"/>
      <c r="M370" s="90"/>
      <c r="N370" s="101"/>
      <c r="O370" s="100"/>
      <c r="P370" s="100"/>
      <c r="Q370" s="130">
        <v>109.584</v>
      </c>
      <c r="R370" s="100"/>
      <c r="S370" s="100"/>
      <c r="T370" s="15">
        <f t="shared" si="68"/>
        <v>109.584</v>
      </c>
      <c r="U370" s="401"/>
    </row>
    <row r="371" spans="1:21" s="1" customFormat="1" ht="66" customHeight="1" x14ac:dyDescent="0.25">
      <c r="A371" s="363"/>
      <c r="B371" s="33" t="s">
        <v>216</v>
      </c>
      <c r="C371" s="286"/>
      <c r="D371" s="286"/>
      <c r="E371" s="393"/>
      <c r="F371" s="285"/>
      <c r="G371" s="285"/>
      <c r="H371" s="285"/>
      <c r="I371" s="396"/>
      <c r="J371" s="399"/>
      <c r="K371" s="99"/>
      <c r="L371" s="90"/>
      <c r="M371" s="90"/>
      <c r="N371" s="101"/>
      <c r="O371" s="100"/>
      <c r="P371" s="100"/>
      <c r="Q371" s="100"/>
      <c r="R371" s="100"/>
      <c r="S371" s="100"/>
      <c r="T371" s="15">
        <f t="shared" si="68"/>
        <v>0</v>
      </c>
      <c r="U371" s="402"/>
    </row>
    <row r="372" spans="1:21" s="1" customFormat="1" ht="35.450000000000003" customHeight="1" collapsed="1" x14ac:dyDescent="0.25">
      <c r="A372" s="363"/>
      <c r="B372" s="383" t="s">
        <v>116</v>
      </c>
      <c r="C372" s="384"/>
      <c r="D372" s="384"/>
      <c r="E372" s="385"/>
      <c r="F372" s="85"/>
      <c r="G372" s="85"/>
      <c r="H372" s="85"/>
      <c r="I372" s="86"/>
      <c r="J372" s="93"/>
      <c r="K372" s="93"/>
      <c r="L372" s="18">
        <f t="shared" ref="L372" si="69">SUM(L364:L371)</f>
        <v>0</v>
      </c>
      <c r="M372" s="18">
        <f>M364+M365+M366+M367+M368+M369+M370+M371</f>
        <v>0</v>
      </c>
      <c r="N372" s="18">
        <f t="shared" ref="N372:T372" si="70">N364+N365+N366+N367+N368+N369+N370+N371</f>
        <v>0</v>
      </c>
      <c r="O372" s="18">
        <f t="shared" si="70"/>
        <v>11244.386</v>
      </c>
      <c r="P372" s="18">
        <f t="shared" si="70"/>
        <v>10389.441999999999</v>
      </c>
      <c r="Q372" s="18">
        <f t="shared" si="70"/>
        <v>10225.194</v>
      </c>
      <c r="R372" s="18">
        <f t="shared" si="70"/>
        <v>13555.97</v>
      </c>
      <c r="S372" s="18">
        <f t="shared" si="70"/>
        <v>0</v>
      </c>
      <c r="T372" s="18">
        <f t="shared" si="70"/>
        <v>45414.992000000006</v>
      </c>
      <c r="U372" s="89"/>
    </row>
    <row r="373" spans="1:21" ht="45" customHeight="1" x14ac:dyDescent="0.25">
      <c r="A373" s="325">
        <v>30</v>
      </c>
      <c r="B373" s="144" t="s">
        <v>89</v>
      </c>
      <c r="C373" s="387" t="s">
        <v>23</v>
      </c>
      <c r="D373" s="286" t="s">
        <v>90</v>
      </c>
      <c r="E373" s="328" t="s">
        <v>311</v>
      </c>
      <c r="F373" s="326" t="s">
        <v>147</v>
      </c>
      <c r="G373" s="326" t="s">
        <v>30</v>
      </c>
      <c r="H373" s="326" t="s">
        <v>64</v>
      </c>
      <c r="I373" s="185" t="s">
        <v>27</v>
      </c>
      <c r="J373" s="186"/>
      <c r="K373" s="186" t="s">
        <v>313</v>
      </c>
      <c r="L373" s="171"/>
      <c r="M373" s="30"/>
      <c r="N373" s="30">
        <v>1070532.1000000001</v>
      </c>
      <c r="O373" s="30">
        <v>1369014.9</v>
      </c>
      <c r="P373" s="171">
        <v>1440403.3</v>
      </c>
      <c r="Q373" s="171">
        <v>2074615.8</v>
      </c>
      <c r="R373" s="171">
        <v>2871784.1</v>
      </c>
      <c r="S373" s="171"/>
      <c r="T373" s="170">
        <f>M373+N373+O373+P373+Q373+R373</f>
        <v>8826350.1999999993</v>
      </c>
      <c r="U373" s="298"/>
    </row>
    <row r="374" spans="1:21" ht="45" customHeight="1" x14ac:dyDescent="0.25">
      <c r="A374" s="325"/>
      <c r="B374" s="144" t="s">
        <v>315</v>
      </c>
      <c r="C374" s="387"/>
      <c r="D374" s="286"/>
      <c r="E374" s="328"/>
      <c r="F374" s="326"/>
      <c r="G374" s="326"/>
      <c r="H374" s="326"/>
      <c r="I374" s="185" t="s">
        <v>312</v>
      </c>
      <c r="J374" s="186"/>
      <c r="K374" s="186"/>
      <c r="L374" s="171"/>
      <c r="M374" s="30"/>
      <c r="N374" s="30"/>
      <c r="O374" s="30"/>
      <c r="P374" s="171"/>
      <c r="Q374" s="171"/>
      <c r="R374" s="171">
        <v>4105.1000000000004</v>
      </c>
      <c r="S374" s="171"/>
      <c r="T374" s="170">
        <f t="shared" ref="T374:T384" si="71">M374+N374+O374+P374+Q374+R374</f>
        <v>4105.1000000000004</v>
      </c>
      <c r="U374" s="298"/>
    </row>
    <row r="375" spans="1:21" ht="55.9" customHeight="1" x14ac:dyDescent="0.25">
      <c r="A375" s="325"/>
      <c r="B375" s="144" t="s">
        <v>316</v>
      </c>
      <c r="C375" s="387"/>
      <c r="D375" s="286"/>
      <c r="E375" s="328"/>
      <c r="F375" s="326"/>
      <c r="G375" s="326"/>
      <c r="H375" s="326"/>
      <c r="I375" s="185" t="s">
        <v>312</v>
      </c>
      <c r="J375" s="186"/>
      <c r="K375" s="186"/>
      <c r="L375" s="171"/>
      <c r="M375" s="30"/>
      <c r="N375" s="30"/>
      <c r="O375" s="30"/>
      <c r="P375" s="171"/>
      <c r="Q375" s="171"/>
      <c r="R375" s="171">
        <v>223694.3</v>
      </c>
      <c r="S375" s="171"/>
      <c r="T375" s="170">
        <f t="shared" si="71"/>
        <v>223694.3</v>
      </c>
      <c r="U375" s="298"/>
    </row>
    <row r="376" spans="1:21" ht="48" customHeight="1" x14ac:dyDescent="0.25">
      <c r="A376" s="325"/>
      <c r="B376" s="144" t="s">
        <v>317</v>
      </c>
      <c r="C376" s="387"/>
      <c r="D376" s="286"/>
      <c r="E376" s="328"/>
      <c r="F376" s="326"/>
      <c r="G376" s="326"/>
      <c r="H376" s="326"/>
      <c r="I376" s="185" t="s">
        <v>312</v>
      </c>
      <c r="J376" s="186"/>
      <c r="K376" s="186"/>
      <c r="L376" s="171"/>
      <c r="M376" s="30"/>
      <c r="N376" s="30"/>
      <c r="O376" s="30"/>
      <c r="P376" s="171"/>
      <c r="Q376" s="171"/>
      <c r="R376" s="171">
        <v>66810.8</v>
      </c>
      <c r="S376" s="171"/>
      <c r="T376" s="170">
        <f t="shared" si="71"/>
        <v>66810.8</v>
      </c>
      <c r="U376" s="298"/>
    </row>
    <row r="377" spans="1:21" ht="103.9" customHeight="1" x14ac:dyDescent="0.25">
      <c r="A377" s="325"/>
      <c r="B377" s="144" t="s">
        <v>318</v>
      </c>
      <c r="C377" s="387"/>
      <c r="D377" s="286"/>
      <c r="E377" s="328"/>
      <c r="F377" s="326"/>
      <c r="G377" s="326"/>
      <c r="H377" s="326"/>
      <c r="I377" s="185" t="s">
        <v>312</v>
      </c>
      <c r="J377" s="186"/>
      <c r="K377" s="186"/>
      <c r="L377" s="171"/>
      <c r="M377" s="30"/>
      <c r="N377" s="30"/>
      <c r="O377" s="30"/>
      <c r="P377" s="171"/>
      <c r="Q377" s="171"/>
      <c r="R377" s="171">
        <v>11566.3</v>
      </c>
      <c r="S377" s="171"/>
      <c r="T377" s="170">
        <f t="shared" si="71"/>
        <v>11566.3</v>
      </c>
      <c r="U377" s="298"/>
    </row>
    <row r="378" spans="1:21" ht="51" customHeight="1" x14ac:dyDescent="0.25">
      <c r="A378" s="325"/>
      <c r="B378" s="144" t="s">
        <v>319</v>
      </c>
      <c r="C378" s="387"/>
      <c r="D378" s="286"/>
      <c r="E378" s="328"/>
      <c r="F378" s="326"/>
      <c r="G378" s="326"/>
      <c r="H378" s="326"/>
      <c r="I378" s="185" t="s">
        <v>312</v>
      </c>
      <c r="J378" s="186"/>
      <c r="K378" s="186"/>
      <c r="L378" s="171"/>
      <c r="M378" s="30"/>
      <c r="N378" s="30"/>
      <c r="O378" s="30"/>
      <c r="P378" s="171"/>
      <c r="Q378" s="171"/>
      <c r="R378" s="171">
        <v>1071.5999999999999</v>
      </c>
      <c r="S378" s="171"/>
      <c r="T378" s="170">
        <f t="shared" si="71"/>
        <v>1071.5999999999999</v>
      </c>
      <c r="U378" s="298"/>
    </row>
    <row r="379" spans="1:21" ht="51.75" customHeight="1" x14ac:dyDescent="0.25">
      <c r="A379" s="325"/>
      <c r="B379" s="144" t="s">
        <v>320</v>
      </c>
      <c r="C379" s="387"/>
      <c r="D379" s="286"/>
      <c r="E379" s="328"/>
      <c r="F379" s="326"/>
      <c r="G379" s="326"/>
      <c r="H379" s="326"/>
      <c r="I379" s="185" t="s">
        <v>312</v>
      </c>
      <c r="J379" s="186"/>
      <c r="K379" s="186"/>
      <c r="L379" s="171"/>
      <c r="M379" s="30"/>
      <c r="N379" s="30"/>
      <c r="O379" s="30"/>
      <c r="P379" s="171"/>
      <c r="Q379" s="171"/>
      <c r="R379" s="171">
        <v>2749.1</v>
      </c>
      <c r="S379" s="171"/>
      <c r="T379" s="170">
        <f t="shared" si="71"/>
        <v>2749.1</v>
      </c>
      <c r="U379" s="298"/>
    </row>
    <row r="380" spans="1:21" ht="57" customHeight="1" x14ac:dyDescent="0.25">
      <c r="A380" s="325"/>
      <c r="B380" s="144" t="s">
        <v>321</v>
      </c>
      <c r="C380" s="387"/>
      <c r="D380" s="286"/>
      <c r="E380" s="328"/>
      <c r="F380" s="326"/>
      <c r="G380" s="326"/>
      <c r="H380" s="326"/>
      <c r="I380" s="185" t="s">
        <v>312</v>
      </c>
      <c r="J380" s="186"/>
      <c r="K380" s="186"/>
      <c r="L380" s="171"/>
      <c r="M380" s="30"/>
      <c r="N380" s="30"/>
      <c r="O380" s="30"/>
      <c r="P380" s="171"/>
      <c r="Q380" s="171"/>
      <c r="R380" s="171">
        <v>277.3</v>
      </c>
      <c r="S380" s="171"/>
      <c r="T380" s="170">
        <f t="shared" si="71"/>
        <v>277.3</v>
      </c>
      <c r="U380" s="298"/>
    </row>
    <row r="381" spans="1:21" ht="45" customHeight="1" x14ac:dyDescent="0.25">
      <c r="A381" s="325"/>
      <c r="B381" s="144" t="s">
        <v>322</v>
      </c>
      <c r="C381" s="387"/>
      <c r="D381" s="286"/>
      <c r="E381" s="328"/>
      <c r="F381" s="326"/>
      <c r="G381" s="326"/>
      <c r="H381" s="326"/>
      <c r="I381" s="185" t="s">
        <v>312</v>
      </c>
      <c r="J381" s="186"/>
      <c r="K381" s="186"/>
      <c r="L381" s="171"/>
      <c r="M381" s="30"/>
      <c r="N381" s="30"/>
      <c r="O381" s="30"/>
      <c r="P381" s="171"/>
      <c r="Q381" s="171"/>
      <c r="R381" s="171">
        <v>2633.5</v>
      </c>
      <c r="S381" s="171"/>
      <c r="T381" s="170">
        <f t="shared" si="71"/>
        <v>2633.5</v>
      </c>
      <c r="U381" s="298"/>
    </row>
    <row r="382" spans="1:21" ht="45" customHeight="1" x14ac:dyDescent="0.25">
      <c r="A382" s="325"/>
      <c r="B382" s="144" t="s">
        <v>323</v>
      </c>
      <c r="C382" s="387"/>
      <c r="D382" s="286"/>
      <c r="E382" s="328"/>
      <c r="F382" s="326"/>
      <c r="G382" s="326"/>
      <c r="H382" s="326"/>
      <c r="I382" s="185" t="s">
        <v>312</v>
      </c>
      <c r="J382" s="186"/>
      <c r="K382" s="186"/>
      <c r="L382" s="171"/>
      <c r="M382" s="30"/>
      <c r="N382" s="30"/>
      <c r="O382" s="30"/>
      <c r="P382" s="171"/>
      <c r="Q382" s="171"/>
      <c r="R382" s="171">
        <v>1557.4</v>
      </c>
      <c r="S382" s="171"/>
      <c r="T382" s="170">
        <f t="shared" si="71"/>
        <v>1557.4</v>
      </c>
      <c r="U382" s="298"/>
    </row>
    <row r="383" spans="1:21" ht="48" customHeight="1" x14ac:dyDescent="0.25">
      <c r="A383" s="325"/>
      <c r="B383" s="144" t="s">
        <v>324</v>
      </c>
      <c r="C383" s="387"/>
      <c r="D383" s="286"/>
      <c r="E383" s="328"/>
      <c r="F383" s="326"/>
      <c r="G383" s="326"/>
      <c r="H383" s="326"/>
      <c r="I383" s="185" t="s">
        <v>312</v>
      </c>
      <c r="J383" s="186"/>
      <c r="K383" s="186"/>
      <c r="L383" s="171"/>
      <c r="M383" s="30"/>
      <c r="N383" s="30"/>
      <c r="O383" s="30"/>
      <c r="P383" s="171"/>
      <c r="Q383" s="171"/>
      <c r="R383" s="171">
        <v>2361.3000000000002</v>
      </c>
      <c r="S383" s="171"/>
      <c r="T383" s="170">
        <f t="shared" si="71"/>
        <v>2361.3000000000002</v>
      </c>
      <c r="U383" s="298"/>
    </row>
    <row r="384" spans="1:21" ht="60" customHeight="1" x14ac:dyDescent="0.25">
      <c r="A384" s="325"/>
      <c r="B384" s="144" t="s">
        <v>325</v>
      </c>
      <c r="C384" s="387"/>
      <c r="D384" s="286"/>
      <c r="E384" s="328"/>
      <c r="F384" s="326"/>
      <c r="G384" s="326"/>
      <c r="H384" s="326"/>
      <c r="I384" s="185" t="s">
        <v>312</v>
      </c>
      <c r="J384" s="186"/>
      <c r="K384" s="186"/>
      <c r="L384" s="171"/>
      <c r="M384" s="30"/>
      <c r="N384" s="30"/>
      <c r="O384" s="30"/>
      <c r="P384" s="171"/>
      <c r="Q384" s="171"/>
      <c r="R384" s="171">
        <v>1018.9</v>
      </c>
      <c r="S384" s="171"/>
      <c r="T384" s="170">
        <f t="shared" si="71"/>
        <v>1018.9</v>
      </c>
      <c r="U384" s="298"/>
    </row>
    <row r="385" spans="1:21" ht="33" customHeight="1" x14ac:dyDescent="0.25">
      <c r="A385" s="325"/>
      <c r="B385" s="16" t="s">
        <v>116</v>
      </c>
      <c r="C385" s="152"/>
      <c r="D385" s="16"/>
      <c r="E385" s="16"/>
      <c r="F385" s="16"/>
      <c r="G385" s="16"/>
      <c r="H385" s="16"/>
      <c r="I385" s="16"/>
      <c r="J385" s="16"/>
      <c r="K385" s="16"/>
      <c r="L385" s="18">
        <f>SUM(L373:L384)</f>
        <v>0</v>
      </c>
      <c r="M385" s="18">
        <f>M373+M374+M375+M376+M377+M378+M379+M380+M381+M382+M383+M384</f>
        <v>0</v>
      </c>
      <c r="N385" s="18">
        <f t="shared" ref="N385:T385" si="72">N373+N374+N375+N376+N377+N378+N379+N380+N381+N382+N383+N384</f>
        <v>1070532.1000000001</v>
      </c>
      <c r="O385" s="18">
        <f t="shared" si="72"/>
        <v>1369014.9</v>
      </c>
      <c r="P385" s="18">
        <f t="shared" si="72"/>
        <v>1440403.3</v>
      </c>
      <c r="Q385" s="18">
        <f t="shared" si="72"/>
        <v>2074615.8</v>
      </c>
      <c r="R385" s="18">
        <f t="shared" si="72"/>
        <v>3189629.6999999993</v>
      </c>
      <c r="S385" s="18">
        <f t="shared" si="72"/>
        <v>0</v>
      </c>
      <c r="T385" s="18">
        <f t="shared" si="72"/>
        <v>9144195.8000000026</v>
      </c>
      <c r="U385" s="20"/>
    </row>
    <row r="386" spans="1:21" ht="74.45" customHeight="1" x14ac:dyDescent="0.25">
      <c r="A386" s="363">
        <v>31</v>
      </c>
      <c r="B386" s="81" t="s">
        <v>91</v>
      </c>
      <c r="C386" s="386" t="s">
        <v>41</v>
      </c>
      <c r="D386" s="386" t="s">
        <v>92</v>
      </c>
      <c r="E386" s="328" t="s">
        <v>93</v>
      </c>
      <c r="F386" s="386" t="s">
        <v>94</v>
      </c>
      <c r="G386" s="386" t="s">
        <v>64</v>
      </c>
      <c r="H386" s="386" t="s">
        <v>309</v>
      </c>
      <c r="I386" s="12"/>
      <c r="J386" s="28"/>
      <c r="K386" s="29"/>
      <c r="L386" s="25"/>
      <c r="M386" s="25"/>
      <c r="N386" s="25"/>
      <c r="O386" s="25"/>
      <c r="P386" s="25"/>
      <c r="Q386" s="25"/>
      <c r="R386" s="25"/>
      <c r="S386" s="25"/>
      <c r="T386" s="62">
        <v>0</v>
      </c>
      <c r="U386" s="307"/>
    </row>
    <row r="387" spans="1:21" ht="91.9" customHeight="1" x14ac:dyDescent="0.25">
      <c r="A387" s="363"/>
      <c r="B387" s="81" t="s">
        <v>95</v>
      </c>
      <c r="C387" s="386"/>
      <c r="D387" s="386" t="s">
        <v>92</v>
      </c>
      <c r="E387" s="328"/>
      <c r="F387" s="386"/>
      <c r="G387" s="386" t="s">
        <v>96</v>
      </c>
      <c r="H387" s="386" t="s">
        <v>96</v>
      </c>
      <c r="I387" s="12"/>
      <c r="J387" s="28"/>
      <c r="K387" s="29"/>
      <c r="L387" s="25"/>
      <c r="M387" s="25"/>
      <c r="N387" s="25"/>
      <c r="O387" s="25"/>
      <c r="P387" s="25"/>
      <c r="Q387" s="25"/>
      <c r="R387" s="25"/>
      <c r="S387" s="25"/>
      <c r="T387" s="62">
        <v>0</v>
      </c>
      <c r="U387" s="391"/>
    </row>
    <row r="388" spans="1:21" ht="34.9" customHeight="1" x14ac:dyDescent="0.25">
      <c r="A388" s="363"/>
      <c r="B388" s="135" t="s">
        <v>116</v>
      </c>
      <c r="C388" s="152"/>
      <c r="D388" s="16"/>
      <c r="E388" s="16"/>
      <c r="F388" s="16"/>
      <c r="G388" s="16"/>
      <c r="H388" s="16"/>
      <c r="I388" s="16"/>
      <c r="J388" s="16"/>
      <c r="K388" s="16"/>
      <c r="L388" s="18">
        <v>0</v>
      </c>
      <c r="M388" s="18">
        <f>M386+M387</f>
        <v>0</v>
      </c>
      <c r="N388" s="18">
        <f t="shared" ref="N388:T388" si="73">N386+N387</f>
        <v>0</v>
      </c>
      <c r="O388" s="18">
        <f t="shared" si="73"/>
        <v>0</v>
      </c>
      <c r="P388" s="18">
        <f t="shared" si="73"/>
        <v>0</v>
      </c>
      <c r="Q388" s="18">
        <f t="shared" si="73"/>
        <v>0</v>
      </c>
      <c r="R388" s="18">
        <f t="shared" si="73"/>
        <v>0</v>
      </c>
      <c r="S388" s="18">
        <f t="shared" si="73"/>
        <v>0</v>
      </c>
      <c r="T388" s="18">
        <f t="shared" si="73"/>
        <v>0</v>
      </c>
      <c r="U388" s="20"/>
    </row>
    <row r="389" spans="1:21" ht="132" customHeight="1" x14ac:dyDescent="0.25">
      <c r="A389" s="325">
        <v>32</v>
      </c>
      <c r="B389" s="63" t="s">
        <v>163</v>
      </c>
      <c r="C389" s="178" t="s">
        <v>308</v>
      </c>
      <c r="D389" s="174" t="s">
        <v>24</v>
      </c>
      <c r="E389" s="175" t="s">
        <v>222</v>
      </c>
      <c r="F389" s="172" t="s">
        <v>306</v>
      </c>
      <c r="G389" s="172" t="s">
        <v>34</v>
      </c>
      <c r="H389" s="172" t="s">
        <v>310</v>
      </c>
      <c r="I389" s="173" t="s">
        <v>27</v>
      </c>
      <c r="J389" s="176">
        <v>104</v>
      </c>
      <c r="K389" s="31">
        <v>100</v>
      </c>
      <c r="L389" s="171"/>
      <c r="M389" s="30"/>
      <c r="N389" s="30"/>
      <c r="O389" s="30">
        <v>2576.1999999999998</v>
      </c>
      <c r="P389" s="171">
        <v>2378.4</v>
      </c>
      <c r="Q389" s="171">
        <v>2396.9</v>
      </c>
      <c r="R389" s="171">
        <v>3455.6</v>
      </c>
      <c r="S389" s="171"/>
      <c r="T389" s="170">
        <f>SUM(O389:R389)</f>
        <v>10807.1</v>
      </c>
      <c r="U389" s="65"/>
    </row>
    <row r="390" spans="1:21" ht="34.9" customHeight="1" x14ac:dyDescent="0.25">
      <c r="A390" s="325"/>
      <c r="B390" s="135" t="s">
        <v>116</v>
      </c>
      <c r="C390" s="152"/>
      <c r="D390" s="16"/>
      <c r="E390" s="16"/>
      <c r="F390" s="16"/>
      <c r="G390" s="16"/>
      <c r="H390" s="16"/>
      <c r="I390" s="16"/>
      <c r="J390" s="16"/>
      <c r="K390" s="16"/>
      <c r="L390" s="20"/>
      <c r="M390" s="18">
        <f>M389</f>
        <v>0</v>
      </c>
      <c r="N390" s="18">
        <f t="shared" ref="N390:T390" si="74">N389</f>
        <v>0</v>
      </c>
      <c r="O390" s="18">
        <f t="shared" si="74"/>
        <v>2576.1999999999998</v>
      </c>
      <c r="P390" s="18">
        <f t="shared" si="74"/>
        <v>2378.4</v>
      </c>
      <c r="Q390" s="18">
        <f t="shared" si="74"/>
        <v>2396.9</v>
      </c>
      <c r="R390" s="18">
        <f t="shared" si="74"/>
        <v>3455.6</v>
      </c>
      <c r="S390" s="18">
        <f t="shared" si="74"/>
        <v>0</v>
      </c>
      <c r="T390" s="18">
        <f t="shared" si="74"/>
        <v>10807.1</v>
      </c>
      <c r="U390" s="20"/>
    </row>
    <row r="391" spans="1:21" ht="34.5" customHeight="1" x14ac:dyDescent="0.25">
      <c r="A391" s="325">
        <v>33</v>
      </c>
      <c r="B391" s="342" t="s">
        <v>466</v>
      </c>
      <c r="C391" s="388" t="s">
        <v>41</v>
      </c>
      <c r="D391" s="274" t="s">
        <v>58</v>
      </c>
      <c r="E391" s="304" t="s">
        <v>146</v>
      </c>
      <c r="F391" s="283" t="s">
        <v>469</v>
      </c>
      <c r="G391" s="283" t="s">
        <v>127</v>
      </c>
      <c r="H391" s="283" t="s">
        <v>470</v>
      </c>
      <c r="I391" s="229" t="s">
        <v>27</v>
      </c>
      <c r="J391" s="227">
        <v>243</v>
      </c>
      <c r="K391" s="31" t="s">
        <v>463</v>
      </c>
      <c r="L391" s="171"/>
      <c r="M391" s="30"/>
      <c r="N391" s="30"/>
      <c r="O391" s="30"/>
      <c r="P391" s="171">
        <v>56</v>
      </c>
      <c r="Q391" s="171">
        <v>171.15799999999999</v>
      </c>
      <c r="R391" s="258">
        <v>310.55500000000001</v>
      </c>
      <c r="S391" s="258">
        <v>0</v>
      </c>
      <c r="T391" s="62">
        <f>L391+M391+N391+O391+P391+Q391+R391+S391</f>
        <v>537.71299999999997</v>
      </c>
      <c r="U391" s="287"/>
    </row>
    <row r="392" spans="1:21" ht="30.75" customHeight="1" x14ac:dyDescent="0.25">
      <c r="A392" s="325"/>
      <c r="B392" s="371"/>
      <c r="C392" s="389"/>
      <c r="D392" s="275"/>
      <c r="E392" s="305"/>
      <c r="F392" s="284"/>
      <c r="G392" s="284"/>
      <c r="H392" s="284"/>
      <c r="I392" s="229" t="s">
        <v>27</v>
      </c>
      <c r="J392" s="227">
        <v>243</v>
      </c>
      <c r="K392" s="31" t="s">
        <v>464</v>
      </c>
      <c r="L392" s="171"/>
      <c r="M392" s="30"/>
      <c r="N392" s="30"/>
      <c r="O392" s="30"/>
      <c r="P392" s="171">
        <v>205.08699999999999</v>
      </c>
      <c r="Q392" s="171">
        <v>187.46600000000001</v>
      </c>
      <c r="R392" s="258">
        <v>181.81319999999999</v>
      </c>
      <c r="S392" s="258">
        <v>320.21190000000001</v>
      </c>
      <c r="T392" s="62">
        <f t="shared" ref="T392:T404" si="75">L392+M392+N392+O392+P392+Q392+R392+S392</f>
        <v>894.57809999999995</v>
      </c>
      <c r="U392" s="288"/>
    </row>
    <row r="393" spans="1:21" ht="32.25" customHeight="1" x14ac:dyDescent="0.25">
      <c r="A393" s="325"/>
      <c r="B393" s="371"/>
      <c r="C393" s="389"/>
      <c r="D393" s="275"/>
      <c r="E393" s="305"/>
      <c r="F393" s="284"/>
      <c r="G393" s="284"/>
      <c r="H393" s="284"/>
      <c r="I393" s="229" t="s">
        <v>27</v>
      </c>
      <c r="J393" s="227">
        <v>243</v>
      </c>
      <c r="K393" s="31" t="s">
        <v>465</v>
      </c>
      <c r="L393" s="171"/>
      <c r="M393" s="30"/>
      <c r="N393" s="30"/>
      <c r="O393" s="30"/>
      <c r="P393" s="171">
        <v>156.80000000000001</v>
      </c>
      <c r="Q393" s="171">
        <v>311.69</v>
      </c>
      <c r="R393" s="258">
        <v>311.69</v>
      </c>
      <c r="S393" s="258">
        <v>311.69</v>
      </c>
      <c r="T393" s="62">
        <f t="shared" si="75"/>
        <v>1091.8700000000001</v>
      </c>
      <c r="U393" s="288"/>
    </row>
    <row r="394" spans="1:21" ht="28.5" customHeight="1" x14ac:dyDescent="0.25">
      <c r="A394" s="325"/>
      <c r="B394" s="343"/>
      <c r="C394" s="389"/>
      <c r="D394" s="275"/>
      <c r="E394" s="305"/>
      <c r="F394" s="284"/>
      <c r="G394" s="284"/>
      <c r="H394" s="284"/>
      <c r="I394" s="229" t="s">
        <v>27</v>
      </c>
      <c r="J394" s="227">
        <v>243</v>
      </c>
      <c r="K394" s="31">
        <v>62</v>
      </c>
      <c r="L394" s="171"/>
      <c r="M394" s="30"/>
      <c r="N394" s="30"/>
      <c r="O394" s="30"/>
      <c r="P394" s="171">
        <v>296.892</v>
      </c>
      <c r="Q394" s="171">
        <v>538.08399999999995</v>
      </c>
      <c r="R394" s="258">
        <v>260.08100000000002</v>
      </c>
      <c r="S394" s="258">
        <v>169.714</v>
      </c>
      <c r="T394" s="62">
        <f t="shared" si="75"/>
        <v>1264.7709999999997</v>
      </c>
      <c r="U394" s="288"/>
    </row>
    <row r="395" spans="1:21" ht="31.5" customHeight="1" x14ac:dyDescent="0.25">
      <c r="A395" s="325"/>
      <c r="B395" s="228" t="s">
        <v>467</v>
      </c>
      <c r="C395" s="389"/>
      <c r="D395" s="275"/>
      <c r="E395" s="305"/>
      <c r="F395" s="284"/>
      <c r="G395" s="284"/>
      <c r="H395" s="284"/>
      <c r="I395" s="229" t="s">
        <v>27</v>
      </c>
      <c r="J395" s="227"/>
      <c r="K395" s="227">
        <v>120</v>
      </c>
      <c r="L395" s="171"/>
      <c r="M395" s="30"/>
      <c r="N395" s="30"/>
      <c r="O395" s="30"/>
      <c r="P395" s="171">
        <v>3651.7122868299998</v>
      </c>
      <c r="Q395" s="171">
        <v>3352.3213139999998</v>
      </c>
      <c r="R395" s="258">
        <v>3352.7279720000001</v>
      </c>
      <c r="S395" s="258">
        <v>2.7770999999999999</v>
      </c>
      <c r="T395" s="62">
        <f t="shared" si="75"/>
        <v>10359.53867283</v>
      </c>
      <c r="U395" s="288"/>
    </row>
    <row r="396" spans="1:21" ht="33.75" customHeight="1" x14ac:dyDescent="0.25">
      <c r="A396" s="325"/>
      <c r="B396" s="63" t="s">
        <v>468</v>
      </c>
      <c r="C396" s="389"/>
      <c r="D396" s="275"/>
      <c r="E396" s="305"/>
      <c r="F396" s="284"/>
      <c r="G396" s="284"/>
      <c r="H396" s="284"/>
      <c r="I396" s="229" t="s">
        <v>27</v>
      </c>
      <c r="J396" s="227">
        <v>243</v>
      </c>
      <c r="K396" s="227"/>
      <c r="L396" s="171"/>
      <c r="M396" s="30"/>
      <c r="N396" s="30"/>
      <c r="O396" s="30"/>
      <c r="P396" s="171">
        <v>0</v>
      </c>
      <c r="Q396" s="171">
        <v>0</v>
      </c>
      <c r="R396" s="258">
        <v>0</v>
      </c>
      <c r="S396" s="258">
        <v>0</v>
      </c>
      <c r="T396" s="62">
        <f t="shared" si="75"/>
        <v>0</v>
      </c>
      <c r="U396" s="288"/>
    </row>
    <row r="397" spans="1:21" ht="54" customHeight="1" x14ac:dyDescent="0.25">
      <c r="A397" s="325"/>
      <c r="B397" s="63" t="s">
        <v>471</v>
      </c>
      <c r="C397" s="389"/>
      <c r="D397" s="275"/>
      <c r="E397" s="305"/>
      <c r="F397" s="284"/>
      <c r="G397" s="284"/>
      <c r="H397" s="284"/>
      <c r="I397" s="229" t="s">
        <v>27</v>
      </c>
      <c r="J397" s="227">
        <v>223</v>
      </c>
      <c r="K397" s="227">
        <v>120</v>
      </c>
      <c r="L397" s="171"/>
      <c r="M397" s="30"/>
      <c r="N397" s="30"/>
      <c r="O397" s="30"/>
      <c r="P397" s="171">
        <v>0</v>
      </c>
      <c r="Q397" s="171">
        <v>0</v>
      </c>
      <c r="R397" s="258">
        <v>17207.363419450001</v>
      </c>
      <c r="S397" s="258">
        <v>4295.8116669999999</v>
      </c>
      <c r="T397" s="62">
        <f t="shared" si="75"/>
        <v>21503.175086449999</v>
      </c>
      <c r="U397" s="288"/>
    </row>
    <row r="398" spans="1:21" ht="29.25" customHeight="1" x14ac:dyDescent="0.25">
      <c r="A398" s="325"/>
      <c r="B398" s="63" t="s">
        <v>472</v>
      </c>
      <c r="C398" s="389"/>
      <c r="D398" s="275"/>
      <c r="E398" s="305"/>
      <c r="F398" s="284"/>
      <c r="G398" s="284"/>
      <c r="H398" s="284"/>
      <c r="I398" s="229" t="s">
        <v>27</v>
      </c>
      <c r="J398" s="227">
        <v>694</v>
      </c>
      <c r="K398" s="227">
        <v>120</v>
      </c>
      <c r="L398" s="171"/>
      <c r="M398" s="30"/>
      <c r="N398" s="30"/>
      <c r="O398" s="30"/>
      <c r="P398" s="171">
        <v>0</v>
      </c>
      <c r="Q398" s="171">
        <v>0</v>
      </c>
      <c r="R398" s="258">
        <v>2676.2134000000001</v>
      </c>
      <c r="S398" s="258">
        <v>2676.2134000000001</v>
      </c>
      <c r="T398" s="62">
        <f t="shared" si="75"/>
        <v>5352.4268000000002</v>
      </c>
      <c r="U398" s="288"/>
    </row>
    <row r="399" spans="1:21" ht="51" customHeight="1" x14ac:dyDescent="0.25">
      <c r="A399" s="325"/>
      <c r="B399" s="63" t="s">
        <v>473</v>
      </c>
      <c r="C399" s="389"/>
      <c r="D399" s="275"/>
      <c r="E399" s="305"/>
      <c r="F399" s="284"/>
      <c r="G399" s="284"/>
      <c r="H399" s="284"/>
      <c r="I399" s="229"/>
      <c r="J399" s="227"/>
      <c r="K399" s="227"/>
      <c r="L399" s="171"/>
      <c r="M399" s="30"/>
      <c r="N399" s="30"/>
      <c r="O399" s="30"/>
      <c r="P399" s="171">
        <v>0</v>
      </c>
      <c r="Q399" s="171">
        <v>0</v>
      </c>
      <c r="R399" s="171">
        <v>18.2348</v>
      </c>
      <c r="S399" s="171">
        <v>23.3</v>
      </c>
      <c r="T399" s="62">
        <f t="shared" si="75"/>
        <v>41.534800000000004</v>
      </c>
      <c r="U399" s="288"/>
    </row>
    <row r="400" spans="1:21" ht="48.75" customHeight="1" x14ac:dyDescent="0.25">
      <c r="A400" s="325"/>
      <c r="B400" s="63" t="s">
        <v>474</v>
      </c>
      <c r="C400" s="389"/>
      <c r="D400" s="275"/>
      <c r="E400" s="305"/>
      <c r="F400" s="284"/>
      <c r="G400" s="284"/>
      <c r="H400" s="284"/>
      <c r="I400" s="229"/>
      <c r="J400" s="227"/>
      <c r="K400" s="227"/>
      <c r="L400" s="171"/>
      <c r="M400" s="30"/>
      <c r="N400" s="30"/>
      <c r="O400" s="30"/>
      <c r="P400" s="171">
        <v>0</v>
      </c>
      <c r="Q400" s="171">
        <v>0</v>
      </c>
      <c r="R400" s="171">
        <v>0</v>
      </c>
      <c r="S400" s="171">
        <v>0</v>
      </c>
      <c r="T400" s="62">
        <f t="shared" si="75"/>
        <v>0</v>
      </c>
      <c r="U400" s="288"/>
    </row>
    <row r="401" spans="1:21" ht="39.75" customHeight="1" x14ac:dyDescent="0.25">
      <c r="A401" s="325"/>
      <c r="B401" s="235" t="s">
        <v>57</v>
      </c>
      <c r="C401" s="389"/>
      <c r="D401" s="275"/>
      <c r="E401" s="305"/>
      <c r="F401" s="284"/>
      <c r="G401" s="284"/>
      <c r="H401" s="284"/>
      <c r="I401" s="229"/>
      <c r="J401" s="227"/>
      <c r="K401" s="227"/>
      <c r="L401" s="171"/>
      <c r="M401" s="30"/>
      <c r="N401" s="30"/>
      <c r="O401" s="30"/>
      <c r="P401" s="171"/>
      <c r="Q401" s="171"/>
      <c r="R401" s="171"/>
      <c r="S401" s="171"/>
      <c r="T401" s="62">
        <f t="shared" si="75"/>
        <v>0</v>
      </c>
      <c r="U401" s="288"/>
    </row>
    <row r="402" spans="1:21" ht="31.5" customHeight="1" x14ac:dyDescent="0.25">
      <c r="A402" s="325"/>
      <c r="B402" s="63" t="s">
        <v>475</v>
      </c>
      <c r="C402" s="389"/>
      <c r="D402" s="275"/>
      <c r="E402" s="305"/>
      <c r="F402" s="284"/>
      <c r="G402" s="284"/>
      <c r="H402" s="284"/>
      <c r="I402" s="229"/>
      <c r="J402" s="227"/>
      <c r="K402" s="227"/>
      <c r="L402" s="171"/>
      <c r="M402" s="30"/>
      <c r="N402" s="30"/>
      <c r="O402" s="30"/>
      <c r="P402" s="171">
        <v>0</v>
      </c>
      <c r="Q402" s="171">
        <v>0</v>
      </c>
      <c r="R402" s="171">
        <v>0</v>
      </c>
      <c r="S402" s="171">
        <v>0</v>
      </c>
      <c r="T402" s="62">
        <f t="shared" si="75"/>
        <v>0</v>
      </c>
      <c r="U402" s="288"/>
    </row>
    <row r="403" spans="1:21" ht="33.75" customHeight="1" x14ac:dyDescent="0.25">
      <c r="A403" s="325"/>
      <c r="B403" s="63" t="s">
        <v>476</v>
      </c>
      <c r="C403" s="390"/>
      <c r="D403" s="276"/>
      <c r="E403" s="306"/>
      <c r="F403" s="285"/>
      <c r="G403" s="285"/>
      <c r="H403" s="285"/>
      <c r="I403" s="229"/>
      <c r="J403" s="227"/>
      <c r="K403" s="227"/>
      <c r="L403" s="171"/>
      <c r="M403" s="30"/>
      <c r="N403" s="30"/>
      <c r="O403" s="30"/>
      <c r="P403" s="171">
        <v>0</v>
      </c>
      <c r="Q403" s="171">
        <v>0</v>
      </c>
      <c r="R403" s="171">
        <v>0</v>
      </c>
      <c r="S403" s="171">
        <v>0</v>
      </c>
      <c r="T403" s="62">
        <f t="shared" si="75"/>
        <v>0</v>
      </c>
      <c r="U403" s="289"/>
    </row>
    <row r="404" spans="1:21" ht="36.6" customHeight="1" x14ac:dyDescent="0.25">
      <c r="A404" s="325"/>
      <c r="B404" s="187" t="s">
        <v>116</v>
      </c>
      <c r="C404" s="152"/>
      <c r="D404" s="16"/>
      <c r="E404" s="16"/>
      <c r="F404" s="16"/>
      <c r="G404" s="16"/>
      <c r="H404" s="16"/>
      <c r="I404" s="16"/>
      <c r="J404" s="16"/>
      <c r="K404" s="16"/>
      <c r="L404" s="18">
        <f>L391+L392+L393++L394+L395+L396+L397+L398+L399+L400+L402+L403</f>
        <v>0</v>
      </c>
      <c r="M404" s="18">
        <f t="shared" ref="M404:S404" si="76">M391+M392+M393++M394+M395+M396+M397+M398+M399+M400+M402+M403</f>
        <v>0</v>
      </c>
      <c r="N404" s="18">
        <f t="shared" si="76"/>
        <v>0</v>
      </c>
      <c r="O404" s="18">
        <f t="shared" si="76"/>
        <v>0</v>
      </c>
      <c r="P404" s="18">
        <f t="shared" si="76"/>
        <v>4366.4912868299998</v>
      </c>
      <c r="Q404" s="18">
        <f t="shared" si="76"/>
        <v>4560.7193139999999</v>
      </c>
      <c r="R404" s="18">
        <f t="shared" si="76"/>
        <v>24318.678791450002</v>
      </c>
      <c r="S404" s="18">
        <f t="shared" si="76"/>
        <v>7799.7180670000007</v>
      </c>
      <c r="T404" s="234">
        <f t="shared" si="75"/>
        <v>41045.607459280007</v>
      </c>
      <c r="U404" s="177"/>
    </row>
    <row r="405" spans="1:21" s="11" customFormat="1" ht="33" customHeight="1" x14ac:dyDescent="0.25">
      <c r="A405" s="79"/>
      <c r="B405" s="320" t="s">
        <v>120</v>
      </c>
      <c r="C405" s="320"/>
      <c r="D405" s="320"/>
      <c r="E405" s="320"/>
      <c r="F405" s="320"/>
      <c r="G405" s="320"/>
      <c r="H405" s="320"/>
      <c r="I405" s="247"/>
      <c r="J405" s="247"/>
      <c r="K405" s="247"/>
      <c r="L405" s="248">
        <f>L404+L390+L388+L385+L372+L363</f>
        <v>0</v>
      </c>
      <c r="M405" s="248">
        <f t="shared" ref="M405:T405" si="77">M404+M390+M388+M385+M372+M363</f>
        <v>0</v>
      </c>
      <c r="N405" s="248">
        <f t="shared" si="77"/>
        <v>1070532.1000000001</v>
      </c>
      <c r="O405" s="248">
        <f t="shared" si="77"/>
        <v>1382835.4859999998</v>
      </c>
      <c r="P405" s="248">
        <f t="shared" si="77"/>
        <v>1458626.0002868301</v>
      </c>
      <c r="Q405" s="248">
        <f t="shared" si="77"/>
        <v>2093567.9753139999</v>
      </c>
      <c r="R405" s="248">
        <f t="shared" si="77"/>
        <v>3232018.4027914493</v>
      </c>
      <c r="S405" s="248">
        <f t="shared" si="77"/>
        <v>7799.7180670000007</v>
      </c>
      <c r="T405" s="248">
        <f t="shared" si="77"/>
        <v>9245379.6824592836</v>
      </c>
      <c r="U405" s="249"/>
    </row>
    <row r="406" spans="1:21" ht="36.6" customHeight="1" x14ac:dyDescent="0.25">
      <c r="A406" s="244"/>
      <c r="B406" s="255"/>
      <c r="C406" s="255">
        <v>33</v>
      </c>
      <c r="D406" s="255">
        <v>251</v>
      </c>
      <c r="E406" s="255"/>
      <c r="F406" s="255"/>
      <c r="G406" s="255"/>
      <c r="H406" s="255"/>
      <c r="I406" s="255"/>
      <c r="J406" s="255"/>
      <c r="K406" s="255"/>
      <c r="L406" s="256">
        <f>L405+L357+L323+L248+L206+L112+L94+L45</f>
        <v>35383.920099999996</v>
      </c>
      <c r="M406" s="256">
        <f t="shared" ref="M406:T406" si="78">M405+M357+M323+M248+M206+M112+M94+M45</f>
        <v>58911.539999999994</v>
      </c>
      <c r="N406" s="256">
        <f t="shared" si="78"/>
        <v>1364027.9238000002</v>
      </c>
      <c r="O406" s="256">
        <f t="shared" si="78"/>
        <v>2865834.8653544998</v>
      </c>
      <c r="P406" s="256">
        <f t="shared" si="78"/>
        <v>3678776.8125665705</v>
      </c>
      <c r="Q406" s="256">
        <f t="shared" si="78"/>
        <v>5176882.9691139497</v>
      </c>
      <c r="R406" s="256">
        <f t="shared" si="78"/>
        <v>5586103.0759765496</v>
      </c>
      <c r="S406" s="256">
        <f t="shared" si="78"/>
        <v>594870.88506700005</v>
      </c>
      <c r="T406" s="256">
        <f t="shared" si="78"/>
        <v>19360792.03762887</v>
      </c>
      <c r="U406" s="257"/>
    </row>
    <row r="407" spans="1:21" s="11" customFormat="1" ht="103.5" customHeight="1" x14ac:dyDescent="0.25">
      <c r="A407" s="362">
        <v>1</v>
      </c>
      <c r="B407" s="24" t="s">
        <v>98</v>
      </c>
      <c r="C407" s="151" t="s">
        <v>99</v>
      </c>
      <c r="D407" s="12" t="s">
        <v>24</v>
      </c>
      <c r="E407" s="59" t="s">
        <v>100</v>
      </c>
      <c r="F407" s="64"/>
      <c r="G407" s="64" t="s">
        <v>64</v>
      </c>
      <c r="H407" s="64" t="s">
        <v>42</v>
      </c>
      <c r="I407" s="12"/>
      <c r="J407" s="12"/>
      <c r="K407" s="13"/>
      <c r="L407" s="14"/>
      <c r="M407" s="14"/>
      <c r="N407" s="14"/>
      <c r="O407" s="14"/>
      <c r="P407" s="14"/>
      <c r="Q407" s="14"/>
      <c r="R407" s="14"/>
      <c r="S407" s="14"/>
      <c r="T407" s="15"/>
      <c r="U407" s="26"/>
    </row>
    <row r="408" spans="1:21" s="11" customFormat="1" ht="22.5" customHeight="1" x14ac:dyDescent="0.25">
      <c r="A408" s="362"/>
      <c r="B408" s="379" t="s">
        <v>101</v>
      </c>
      <c r="C408" s="379"/>
      <c r="D408" s="379"/>
      <c r="E408" s="379"/>
      <c r="F408" s="379"/>
      <c r="G408" s="379"/>
      <c r="H408" s="379"/>
      <c r="I408" s="379"/>
      <c r="J408" s="379"/>
      <c r="K408" s="379"/>
      <c r="L408" s="379"/>
      <c r="M408" s="379"/>
      <c r="N408" s="379"/>
      <c r="O408" s="379"/>
      <c r="P408" s="379"/>
      <c r="Q408" s="379"/>
      <c r="R408" s="379"/>
      <c r="S408" s="379"/>
      <c r="T408" s="379"/>
      <c r="U408" s="379"/>
    </row>
    <row r="409" spans="1:21" s="11" customFormat="1" ht="107.25" customHeight="1" x14ac:dyDescent="0.25">
      <c r="A409" s="378">
        <v>2</v>
      </c>
      <c r="B409" s="24" t="s">
        <v>102</v>
      </c>
      <c r="C409" s="151" t="s">
        <v>99</v>
      </c>
      <c r="D409" s="12" t="s">
        <v>24</v>
      </c>
      <c r="E409" s="59" t="s">
        <v>103</v>
      </c>
      <c r="F409" s="64"/>
      <c r="G409" s="64" t="s">
        <v>104</v>
      </c>
      <c r="H409" s="64" t="s">
        <v>42</v>
      </c>
      <c r="I409" s="12"/>
      <c r="J409" s="12"/>
      <c r="K409" s="13"/>
      <c r="L409" s="14"/>
      <c r="M409" s="14"/>
      <c r="N409" s="14"/>
      <c r="O409" s="14"/>
      <c r="P409" s="14"/>
      <c r="Q409" s="14"/>
      <c r="R409" s="14"/>
      <c r="S409" s="14"/>
      <c r="T409" s="15"/>
      <c r="U409" s="61"/>
    </row>
    <row r="410" spans="1:21" s="11" customFormat="1" ht="22.5" customHeight="1" x14ac:dyDescent="0.25">
      <c r="A410" s="378"/>
      <c r="B410" s="379" t="s">
        <v>101</v>
      </c>
      <c r="C410" s="379"/>
      <c r="D410" s="379"/>
      <c r="E410" s="379"/>
      <c r="F410" s="379"/>
      <c r="G410" s="379"/>
      <c r="H410" s="379"/>
      <c r="I410" s="379"/>
      <c r="J410" s="379"/>
      <c r="K410" s="379"/>
      <c r="L410" s="379"/>
      <c r="M410" s="379"/>
      <c r="N410" s="379"/>
      <c r="O410" s="379"/>
      <c r="P410" s="379"/>
      <c r="Q410" s="379"/>
      <c r="R410" s="379"/>
      <c r="S410" s="379"/>
      <c r="T410" s="379"/>
      <c r="U410" s="379"/>
    </row>
    <row r="411" spans="1:21" ht="20.25" x14ac:dyDescent="0.25">
      <c r="A411" s="83"/>
      <c r="B411" s="34"/>
      <c r="C411" s="154"/>
      <c r="D411" s="34"/>
      <c r="E411" s="84"/>
      <c r="F411" s="34"/>
      <c r="G411" s="34"/>
      <c r="H411" s="34"/>
      <c r="I411" s="34"/>
      <c r="J411" s="34"/>
      <c r="K411" s="34"/>
      <c r="L411" s="34"/>
      <c r="M411" s="34"/>
      <c r="N411" s="34"/>
      <c r="O411" s="34"/>
      <c r="P411" s="34"/>
      <c r="Q411" s="34"/>
      <c r="R411" s="34"/>
      <c r="S411" s="34"/>
      <c r="T411" s="34"/>
      <c r="U411" s="61"/>
    </row>
    <row r="412" spans="1:21" ht="23.25" hidden="1" x14ac:dyDescent="0.35">
      <c r="B412" s="72" t="s">
        <v>111</v>
      </c>
      <c r="C412" s="73">
        <v>3</v>
      </c>
      <c r="U412" s="22"/>
    </row>
    <row r="413" spans="1:21" ht="23.25" hidden="1" x14ac:dyDescent="0.35">
      <c r="B413" s="68" t="s">
        <v>112</v>
      </c>
      <c r="C413" s="69">
        <v>3</v>
      </c>
      <c r="U413" s="77"/>
    </row>
    <row r="414" spans="1:21" ht="23.25" hidden="1" x14ac:dyDescent="0.35">
      <c r="B414" s="68" t="s">
        <v>105</v>
      </c>
      <c r="C414" s="69">
        <v>3</v>
      </c>
      <c r="U414" s="22"/>
    </row>
    <row r="415" spans="1:21" ht="23.25" hidden="1" x14ac:dyDescent="0.35">
      <c r="B415" s="68" t="s">
        <v>106</v>
      </c>
      <c r="C415" s="69">
        <v>3</v>
      </c>
      <c r="U415" s="77"/>
    </row>
    <row r="416" spans="1:21" ht="23.25" hidden="1" x14ac:dyDescent="0.35">
      <c r="B416" s="68" t="s">
        <v>107</v>
      </c>
      <c r="C416" s="69">
        <v>4</v>
      </c>
      <c r="U416" s="22"/>
    </row>
    <row r="417" spans="2:21" ht="23.25" hidden="1" x14ac:dyDescent="0.35">
      <c r="B417" s="68" t="s">
        <v>108</v>
      </c>
      <c r="C417" s="69">
        <v>5</v>
      </c>
      <c r="U417" s="77"/>
    </row>
    <row r="418" spans="2:21" ht="23.25" hidden="1" x14ac:dyDescent="0.35">
      <c r="B418" s="68" t="s">
        <v>109</v>
      </c>
      <c r="C418" s="69">
        <v>6</v>
      </c>
      <c r="U418" s="22"/>
    </row>
    <row r="419" spans="2:21" ht="23.25" hidden="1" x14ac:dyDescent="0.35">
      <c r="B419" s="68" t="s">
        <v>110</v>
      </c>
      <c r="C419" s="69">
        <v>6</v>
      </c>
      <c r="U419" s="77"/>
    </row>
    <row r="420" spans="2:21" ht="22.5" hidden="1" x14ac:dyDescent="0.3">
      <c r="B420" s="70" t="s">
        <v>97</v>
      </c>
      <c r="C420" s="28">
        <f>SUM(C412:C419)</f>
        <v>33</v>
      </c>
      <c r="U420" s="22"/>
    </row>
  </sheetData>
  <mergeCells count="350">
    <mergeCell ref="A355:A356"/>
    <mergeCell ref="B357:H357"/>
    <mergeCell ref="A257:A285"/>
    <mergeCell ref="A208:A209"/>
    <mergeCell ref="B231:B241"/>
    <mergeCell ref="J174:J175"/>
    <mergeCell ref="K179:K181"/>
    <mergeCell ref="G250:G255"/>
    <mergeCell ref="H250:H255"/>
    <mergeCell ref="I250:I255"/>
    <mergeCell ref="G257:G284"/>
    <mergeCell ref="B182:B184"/>
    <mergeCell ref="C210:C229"/>
    <mergeCell ref="A291:A292"/>
    <mergeCell ref="A286:A290"/>
    <mergeCell ref="C286:C289"/>
    <mergeCell ref="D286:D289"/>
    <mergeCell ref="A192:A203"/>
    <mergeCell ref="C192:C202"/>
    <mergeCell ref="D192:D202"/>
    <mergeCell ref="E192:E202"/>
    <mergeCell ref="F192:F202"/>
    <mergeCell ref="E257:E284"/>
    <mergeCell ref="C250:C255"/>
    <mergeCell ref="U286:U289"/>
    <mergeCell ref="U257:U284"/>
    <mergeCell ref="G192:G202"/>
    <mergeCell ref="B248:H248"/>
    <mergeCell ref="C231:C246"/>
    <mergeCell ref="D231:D246"/>
    <mergeCell ref="E286:E289"/>
    <mergeCell ref="I257:I284"/>
    <mergeCell ref="F250:F255"/>
    <mergeCell ref="D210:D229"/>
    <mergeCell ref="L193:L202"/>
    <mergeCell ref="M193:M202"/>
    <mergeCell ref="N193:N202"/>
    <mergeCell ref="O193:O202"/>
    <mergeCell ref="P193:P202"/>
    <mergeCell ref="Q193:Q202"/>
    <mergeCell ref="R193:R202"/>
    <mergeCell ref="S193:S202"/>
    <mergeCell ref="T193:T202"/>
    <mergeCell ref="U192:U202"/>
    <mergeCell ref="U331:U335"/>
    <mergeCell ref="H325:H326"/>
    <mergeCell ref="G293:G310"/>
    <mergeCell ref="H293:H310"/>
    <mergeCell ref="H328:H329"/>
    <mergeCell ref="F331:F335"/>
    <mergeCell ref="B290:E290"/>
    <mergeCell ref="C331:C335"/>
    <mergeCell ref="D331:D335"/>
    <mergeCell ref="E331:E335"/>
    <mergeCell ref="C293:C310"/>
    <mergeCell ref="D293:D310"/>
    <mergeCell ref="E293:E310"/>
    <mergeCell ref="F293:F310"/>
    <mergeCell ref="G328:G329"/>
    <mergeCell ref="F312:F321"/>
    <mergeCell ref="G312:G321"/>
    <mergeCell ref="H312:H321"/>
    <mergeCell ref="G331:G335"/>
    <mergeCell ref="H331:H335"/>
    <mergeCell ref="D312:D321"/>
    <mergeCell ref="C312:C321"/>
    <mergeCell ref="U312:U321"/>
    <mergeCell ref="U359:U362"/>
    <mergeCell ref="F359:F362"/>
    <mergeCell ref="F286:F289"/>
    <mergeCell ref="C328:C329"/>
    <mergeCell ref="B293:B303"/>
    <mergeCell ref="A293:A311"/>
    <mergeCell ref="A331:A336"/>
    <mergeCell ref="A312:A322"/>
    <mergeCell ref="F328:F329"/>
    <mergeCell ref="A324:U324"/>
    <mergeCell ref="U325:U326"/>
    <mergeCell ref="A325:A327"/>
    <mergeCell ref="A328:A330"/>
    <mergeCell ref="G286:G289"/>
    <mergeCell ref="H286:H289"/>
    <mergeCell ref="C325:C326"/>
    <mergeCell ref="D325:D326"/>
    <mergeCell ref="E325:E326"/>
    <mergeCell ref="F325:F326"/>
    <mergeCell ref="I293:I303"/>
    <mergeCell ref="G325:G326"/>
    <mergeCell ref="U328:U329"/>
    <mergeCell ref="D328:D329"/>
    <mergeCell ref="E328:E329"/>
    <mergeCell ref="U386:U387"/>
    <mergeCell ref="U373:U384"/>
    <mergeCell ref="B391:B394"/>
    <mergeCell ref="A407:A408"/>
    <mergeCell ref="B408:U408"/>
    <mergeCell ref="B405:H405"/>
    <mergeCell ref="F386:F387"/>
    <mergeCell ref="A337:A354"/>
    <mergeCell ref="E364:E371"/>
    <mergeCell ref="G364:G371"/>
    <mergeCell ref="H364:H371"/>
    <mergeCell ref="I364:I371"/>
    <mergeCell ref="J364:J371"/>
    <mergeCell ref="A358:U358"/>
    <mergeCell ref="A359:A363"/>
    <mergeCell ref="C359:C362"/>
    <mergeCell ref="D359:D362"/>
    <mergeCell ref="E359:E362"/>
    <mergeCell ref="U337:U338"/>
    <mergeCell ref="U364:U371"/>
    <mergeCell ref="G386:G387"/>
    <mergeCell ref="F364:F371"/>
    <mergeCell ref="G359:G362"/>
    <mergeCell ref="H359:H362"/>
    <mergeCell ref="A409:A410"/>
    <mergeCell ref="B410:U410"/>
    <mergeCell ref="A389:A390"/>
    <mergeCell ref="B363:E363"/>
    <mergeCell ref="A364:A372"/>
    <mergeCell ref="B372:E372"/>
    <mergeCell ref="B364:B368"/>
    <mergeCell ref="A391:A404"/>
    <mergeCell ref="E386:E387"/>
    <mergeCell ref="A386:A388"/>
    <mergeCell ref="C386:C387"/>
    <mergeCell ref="D386:D387"/>
    <mergeCell ref="D373:D384"/>
    <mergeCell ref="E373:E384"/>
    <mergeCell ref="C364:C371"/>
    <mergeCell ref="D364:D371"/>
    <mergeCell ref="A373:A385"/>
    <mergeCell ref="C373:C384"/>
    <mergeCell ref="H373:H384"/>
    <mergeCell ref="H386:H387"/>
    <mergeCell ref="E391:E403"/>
    <mergeCell ref="C391:C403"/>
    <mergeCell ref="D391:D403"/>
    <mergeCell ref="F391:F403"/>
    <mergeCell ref="F373:F384"/>
    <mergeCell ref="G373:G384"/>
    <mergeCell ref="G391:G403"/>
    <mergeCell ref="H391:H403"/>
    <mergeCell ref="E15:E36"/>
    <mergeCell ref="F15:F36"/>
    <mergeCell ref="B50:B52"/>
    <mergeCell ref="B62:B63"/>
    <mergeCell ref="C257:C284"/>
    <mergeCell ref="D257:D284"/>
    <mergeCell ref="F257:F284"/>
    <mergeCell ref="F96:F100"/>
    <mergeCell ref="E72:E92"/>
    <mergeCell ref="E210:E229"/>
    <mergeCell ref="B164:B165"/>
    <mergeCell ref="B176:B178"/>
    <mergeCell ref="B179:B181"/>
    <mergeCell ref="E38:E43"/>
    <mergeCell ref="F38:F43"/>
    <mergeCell ref="F210:F229"/>
    <mergeCell ref="E231:E246"/>
    <mergeCell ref="G337:G353"/>
    <mergeCell ref="H337:H353"/>
    <mergeCell ref="D337:D353"/>
    <mergeCell ref="A2:A3"/>
    <mergeCell ref="B2:B3"/>
    <mergeCell ref="C47:C68"/>
    <mergeCell ref="D47:D68"/>
    <mergeCell ref="E47:E68"/>
    <mergeCell ref="C6:C13"/>
    <mergeCell ref="F47:F68"/>
    <mergeCell ref="G47:G68"/>
    <mergeCell ref="H47:H68"/>
    <mergeCell ref="B38:B43"/>
    <mergeCell ref="E6:E13"/>
    <mergeCell ref="F6:F13"/>
    <mergeCell ref="G6:G13"/>
    <mergeCell ref="H6:H13"/>
    <mergeCell ref="B66:B67"/>
    <mergeCell ref="D15:D36"/>
    <mergeCell ref="B17:B19"/>
    <mergeCell ref="A15:A37"/>
    <mergeCell ref="A47:A69"/>
    <mergeCell ref="C15:C36"/>
    <mergeCell ref="A5:T5"/>
    <mergeCell ref="G38:G43"/>
    <mergeCell ref="C38:C43"/>
    <mergeCell ref="D38:D43"/>
    <mergeCell ref="A70:A71"/>
    <mergeCell ref="B162:B163"/>
    <mergeCell ref="J162:J163"/>
    <mergeCell ref="A72:A93"/>
    <mergeCell ref="E96:E100"/>
    <mergeCell ref="A114:A148"/>
    <mergeCell ref="B98:B99"/>
    <mergeCell ref="C97:C99"/>
    <mergeCell ref="C102:C105"/>
    <mergeCell ref="D102:D105"/>
    <mergeCell ref="G102:G105"/>
    <mergeCell ref="A102:A106"/>
    <mergeCell ref="A96:A101"/>
    <mergeCell ref="H114:H147"/>
    <mergeCell ref="G107:G110"/>
    <mergeCell ref="C107:C110"/>
    <mergeCell ref="C114:C147"/>
    <mergeCell ref="B94:H94"/>
    <mergeCell ref="A107:A111"/>
    <mergeCell ref="J151:J152"/>
    <mergeCell ref="J153:J154"/>
    <mergeCell ref="D107:D110"/>
    <mergeCell ref="E114:E147"/>
    <mergeCell ref="J72:J92"/>
    <mergeCell ref="B1:U1"/>
    <mergeCell ref="B88:B89"/>
    <mergeCell ref="U47:U68"/>
    <mergeCell ref="F102:F105"/>
    <mergeCell ref="H149:H190"/>
    <mergeCell ref="G149:G190"/>
    <mergeCell ref="F149:F190"/>
    <mergeCell ref="E149:E190"/>
    <mergeCell ref="C2:C3"/>
    <mergeCell ref="D2:D3"/>
    <mergeCell ref="E2:E3"/>
    <mergeCell ref="F2:H2"/>
    <mergeCell ref="I2:T2"/>
    <mergeCell ref="B7:B9"/>
    <mergeCell ref="D6:D13"/>
    <mergeCell ref="C72:C92"/>
    <mergeCell ref="B102:B103"/>
    <mergeCell ref="J155:J156"/>
    <mergeCell ref="K155:K156"/>
    <mergeCell ref="K153:K154"/>
    <mergeCell ref="U2:U3"/>
    <mergeCell ref="U149:U190"/>
    <mergeCell ref="K162:K163"/>
    <mergeCell ref="J179:J181"/>
    <mergeCell ref="A6:A14"/>
    <mergeCell ref="U6:U13"/>
    <mergeCell ref="I17:I19"/>
    <mergeCell ref="J17:J19"/>
    <mergeCell ref="H72:H92"/>
    <mergeCell ref="B31:B32"/>
    <mergeCell ref="B20:B22"/>
    <mergeCell ref="U38:U43"/>
    <mergeCell ref="I23:I24"/>
    <mergeCell ref="J23:J24"/>
    <mergeCell ref="B23:B24"/>
    <mergeCell ref="B28:B30"/>
    <mergeCell ref="I28:I30"/>
    <mergeCell ref="J28:J30"/>
    <mergeCell ref="H38:H43"/>
    <mergeCell ref="I20:I22"/>
    <mergeCell ref="J20:J22"/>
    <mergeCell ref="G15:G36"/>
    <mergeCell ref="H15:H36"/>
    <mergeCell ref="B45:H45"/>
    <mergeCell ref="A38:A44"/>
    <mergeCell ref="B58:B59"/>
    <mergeCell ref="A46:U46"/>
    <mergeCell ref="F72:F92"/>
    <mergeCell ref="U96:U100"/>
    <mergeCell ref="G72:G92"/>
    <mergeCell ref="A249:U249"/>
    <mergeCell ref="A149:A191"/>
    <mergeCell ref="K172:K173"/>
    <mergeCell ref="J157:J159"/>
    <mergeCell ref="D72:D92"/>
    <mergeCell ref="B185:B186"/>
    <mergeCell ref="H102:H105"/>
    <mergeCell ref="A113:U113"/>
    <mergeCell ref="K164:K165"/>
    <mergeCell ref="B126:B127"/>
    <mergeCell ref="B112:H112"/>
    <mergeCell ref="B153:B154"/>
    <mergeCell ref="E102:E105"/>
    <mergeCell ref="B151:B152"/>
    <mergeCell ref="U72:U92"/>
    <mergeCell ref="H107:H110"/>
    <mergeCell ref="D149:D190"/>
    <mergeCell ref="C149:C190"/>
    <mergeCell ref="H96:H100"/>
    <mergeCell ref="J231:J242"/>
    <mergeCell ref="K174:K175"/>
    <mergeCell ref="J166:J167"/>
    <mergeCell ref="K182:K184"/>
    <mergeCell ref="J185:J186"/>
    <mergeCell ref="K185:K186"/>
    <mergeCell ref="J160:J161"/>
    <mergeCell ref="E250:E255"/>
    <mergeCell ref="K166:K167"/>
    <mergeCell ref="J168:J169"/>
    <mergeCell ref="K168:K169"/>
    <mergeCell ref="H257:H284"/>
    <mergeCell ref="J176:J178"/>
    <mergeCell ref="K176:K178"/>
    <mergeCell ref="J172:J173"/>
    <mergeCell ref="F231:F246"/>
    <mergeCell ref="J182:J184"/>
    <mergeCell ref="J164:J165"/>
    <mergeCell ref="J170:J171"/>
    <mergeCell ref="K170:K171"/>
    <mergeCell ref="H192:H202"/>
    <mergeCell ref="B206:H206"/>
    <mergeCell ref="K193:K202"/>
    <mergeCell ref="A207:U207"/>
    <mergeCell ref="A210:A230"/>
    <mergeCell ref="U391:U403"/>
    <mergeCell ref="U107:U110"/>
    <mergeCell ref="A95:U95"/>
    <mergeCell ref="G210:G229"/>
    <mergeCell ref="U293:U310"/>
    <mergeCell ref="U102:U105"/>
    <mergeCell ref="B157:B159"/>
    <mergeCell ref="K157:K159"/>
    <mergeCell ref="B160:B161"/>
    <mergeCell ref="U114:U147"/>
    <mergeCell ref="A204:A206"/>
    <mergeCell ref="B210:B220"/>
    <mergeCell ref="U250:U255"/>
    <mergeCell ref="A250:A256"/>
    <mergeCell ref="A231:A247"/>
    <mergeCell ref="H231:H246"/>
    <mergeCell ref="U231:U246"/>
    <mergeCell ref="D96:D100"/>
    <mergeCell ref="D250:D255"/>
    <mergeCell ref="E107:E110"/>
    <mergeCell ref="U210:U229"/>
    <mergeCell ref="B155:B156"/>
    <mergeCell ref="H210:H229"/>
    <mergeCell ref="K151:K152"/>
    <mergeCell ref="E337:E353"/>
    <mergeCell ref="F337:F353"/>
    <mergeCell ref="J293:J310"/>
    <mergeCell ref="G231:G246"/>
    <mergeCell ref="E312:E321"/>
    <mergeCell ref="B72:B75"/>
    <mergeCell ref="B76:B78"/>
    <mergeCell ref="B148:H148"/>
    <mergeCell ref="B114:B115"/>
    <mergeCell ref="B174:B175"/>
    <mergeCell ref="F107:F110"/>
    <mergeCell ref="B166:B167"/>
    <mergeCell ref="G96:G100"/>
    <mergeCell ref="F114:F147"/>
    <mergeCell ref="G114:G147"/>
    <mergeCell ref="D114:D147"/>
    <mergeCell ref="B172:B173"/>
    <mergeCell ref="B168:B169"/>
    <mergeCell ref="B170:B171"/>
    <mergeCell ref="I193:I202"/>
    <mergeCell ref="J193:J202"/>
  </mergeCells>
  <pageMargins left="0.70866141732283472" right="0.70866141732283472" top="0.74803149606299213" bottom="0.74803149606299213" header="0.31496062992125984" footer="0.31496062992125984"/>
  <pageSetup paperSize="9" scale="20" fitToHeight="0" orientation="landscape" r:id="rId1"/>
  <rowBreaks count="7" manualBreakCount="7">
    <brk id="56" max="20" man="1"/>
    <brk id="106" max="20" man="1"/>
    <brk id="169" max="20" man="1"/>
    <brk id="230" max="20" man="1"/>
    <brk id="281" max="20" man="1"/>
    <brk id="334" max="20" man="1"/>
    <brk id="372" max="2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Ернар Дарибаев</dc:creator>
  <cp:lastModifiedBy>Нургали Шалабаев</cp:lastModifiedBy>
  <cp:lastPrinted>2023-12-19T10:47:09Z</cp:lastPrinted>
  <dcterms:created xsi:type="dcterms:W3CDTF">2015-06-05T18:19:34Z</dcterms:created>
  <dcterms:modified xsi:type="dcterms:W3CDTF">2023-12-20T10:55:09Z</dcterms:modified>
</cp:coreProperties>
</file>