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6 редакция КП\Алгоритмы 6  ред\"/>
    </mc:Choice>
  </mc:AlternateContent>
  <bookViews>
    <workbookView xWindow="0" yWindow="0" windowWidth="2370" windowHeight="0" tabRatio="500"/>
  </bookViews>
  <sheets>
    <sheet name="Тоники" sheetId="1" r:id="rId1"/>
    <sheet name="SAPS" sheetId="2" r:id="rId2"/>
    <sheet name="КЩС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5" i="3" l="1"/>
  <c r="V15" i="3" s="1"/>
  <c r="S15" i="3"/>
  <c r="R15" i="3"/>
  <c r="V13" i="3"/>
  <c r="R13" i="3"/>
  <c r="D12" i="3"/>
  <c r="D14" i="3" s="1"/>
  <c r="R11" i="3"/>
  <c r="V11" i="3" s="1"/>
  <c r="D10" i="3"/>
  <c r="S9" i="3"/>
  <c r="R9" i="3"/>
  <c r="T9" i="3" s="1"/>
  <c r="V9" i="3" s="1"/>
  <c r="G8" i="3"/>
  <c r="S7" i="3"/>
  <c r="P7" i="3"/>
  <c r="V7" i="3" s="1"/>
  <c r="G6" i="3"/>
  <c r="G4" i="3"/>
  <c r="E44" i="2"/>
  <c r="I42" i="2"/>
  <c r="G42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37" i="2" s="1"/>
  <c r="P7" i="2"/>
  <c r="Q35" i="1"/>
  <c r="O35" i="1"/>
  <c r="M35" i="1"/>
  <c r="I35" i="1"/>
  <c r="G35" i="1"/>
  <c r="E35" i="1"/>
  <c r="C35" i="1"/>
  <c r="K35" i="1" s="1"/>
  <c r="U31" i="1"/>
  <c r="S31" i="1"/>
  <c r="V27" i="1"/>
  <c r="R27" i="1"/>
  <c r="N27" i="1"/>
  <c r="J27" i="1"/>
  <c r="F27" i="1"/>
  <c r="C27" i="1"/>
  <c r="U27" i="1" s="1"/>
  <c r="U23" i="1"/>
  <c r="S23" i="1"/>
  <c r="V19" i="1"/>
  <c r="U19" i="1"/>
  <c r="T19" i="1"/>
  <c r="R19" i="1"/>
  <c r="Q19" i="1"/>
  <c r="P19" i="1"/>
  <c r="N19" i="1"/>
  <c r="M19" i="1"/>
  <c r="L19" i="1"/>
  <c r="J19" i="1"/>
  <c r="I19" i="1"/>
  <c r="H19" i="1"/>
  <c r="F19" i="1"/>
  <c r="E19" i="1"/>
  <c r="D19" i="1"/>
  <c r="C19" i="1"/>
  <c r="S19" i="1" s="1"/>
  <c r="U15" i="1"/>
  <c r="S15" i="1"/>
  <c r="V11" i="1"/>
  <c r="R11" i="1"/>
  <c r="N11" i="1"/>
  <c r="J11" i="1"/>
  <c r="F11" i="1"/>
  <c r="C11" i="1"/>
  <c r="U11" i="1" s="1"/>
  <c r="U7" i="1"/>
  <c r="S7" i="1"/>
  <c r="N42" i="2" l="1"/>
  <c r="N44" i="2"/>
  <c r="D11" i="3"/>
  <c r="Y7" i="3"/>
  <c r="A16" i="3" s="1"/>
  <c r="D15" i="3"/>
  <c r="A10" i="3"/>
  <c r="G11" i="1"/>
  <c r="K11" i="1"/>
  <c r="O11" i="1"/>
  <c r="S11" i="1"/>
  <c r="G27" i="1"/>
  <c r="K27" i="1"/>
  <c r="O27" i="1"/>
  <c r="S27" i="1"/>
  <c r="D11" i="1"/>
  <c r="H11" i="1"/>
  <c r="L11" i="1"/>
  <c r="P11" i="1"/>
  <c r="T11" i="1"/>
  <c r="D27" i="1"/>
  <c r="H27" i="1"/>
  <c r="L27" i="1"/>
  <c r="P27" i="1"/>
  <c r="T27" i="1"/>
  <c r="E11" i="1"/>
  <c r="I11" i="1"/>
  <c r="M11" i="1"/>
  <c r="Q11" i="1"/>
  <c r="G19" i="1"/>
  <c r="K19" i="1"/>
  <c r="O19" i="1"/>
  <c r="E27" i="1"/>
  <c r="I27" i="1"/>
  <c r="M27" i="1"/>
  <c r="Q27" i="1"/>
</calcChain>
</file>

<file path=xl/comments1.xml><?xml version="1.0" encoding="utf-8"?>
<comments xmlns="http://schemas.openxmlformats.org/spreadsheetml/2006/main">
  <authors>
    <author/>
  </authors>
  <commentList>
    <comment ref="N17" authorId="0" shapeId="0">
      <text>
        <r>
          <rPr>
            <b/>
            <sz val="8"/>
            <color rgb="FF000000"/>
            <rFont val="Tahoma"/>
            <charset val="204"/>
          </rPr>
          <t xml:space="preserve">Ввести
"Да"  или "Нет"
</t>
        </r>
      </text>
    </comment>
  </commentList>
</comments>
</file>

<file path=xl/sharedStrings.xml><?xml version="1.0" encoding="utf-8"?>
<sst xmlns="http://schemas.openxmlformats.org/spreadsheetml/2006/main" count="101" uniqueCount="77">
  <si>
    <t>Азими</t>
  </si>
  <si>
    <t>Вес</t>
  </si>
  <si>
    <t xml:space="preserve"> кг</t>
  </si>
  <si>
    <t>ДОФАМИН</t>
  </si>
  <si>
    <t xml:space="preserve"> %</t>
  </si>
  <si>
    <t xml:space="preserve">мл + </t>
  </si>
  <si>
    <t xml:space="preserve"> мл  физ</t>
  </si>
  <si>
    <t>=</t>
  </si>
  <si>
    <t>мг  /</t>
  </si>
  <si>
    <t>мл</t>
  </si>
  <si>
    <t>мкг/кг/мин</t>
  </si>
  <si>
    <t>ДОБУТАМИН</t>
  </si>
  <si>
    <t>мл +</t>
  </si>
  <si>
    <t>НОРАДРЕНАЛИН</t>
  </si>
  <si>
    <t>АДРЕНАЛИН</t>
  </si>
  <si>
    <t>мкг/мин</t>
  </si>
  <si>
    <t>←</t>
  </si>
  <si>
    <t>мл/ч</t>
  </si>
  <si>
    <t>logvinenkoia@hotmail.com</t>
  </si>
  <si>
    <t>15.04.2020</t>
  </si>
  <si>
    <t>28.02.2005</t>
  </si>
  <si>
    <t>Glasgo Coma Score</t>
  </si>
  <si>
    <t>SAPS  II</t>
  </si>
  <si>
    <t>Открывание  глаз</t>
  </si>
  <si>
    <t>Спонтанное открывание</t>
  </si>
  <si>
    <t>Возраст</t>
  </si>
  <si>
    <t>В ответ на словесный приказ</t>
  </si>
  <si>
    <t>ЧСС</t>
  </si>
  <si>
    <t>В ответ на болевое раздражение</t>
  </si>
  <si>
    <t>АД сист</t>
  </si>
  <si>
    <t>Отсутствует</t>
  </si>
  <si>
    <t>Т</t>
  </si>
  <si>
    <t>Двигательная  активность</t>
  </si>
  <si>
    <t>ЧДД</t>
  </si>
  <si>
    <t>Целенаправленная в ответ на словесный приказ</t>
  </si>
  <si>
    <t>ИВЛ</t>
  </si>
  <si>
    <t>нет</t>
  </si>
  <si>
    <t>Целенаправленная в ответ на болевое раздражение</t>
  </si>
  <si>
    <t>Моча (л/24 ч)</t>
  </si>
  <si>
    <t>Нецеленаправленная в ответ на болевое раздражение</t>
  </si>
  <si>
    <t>Мочевина</t>
  </si>
  <si>
    <t>Патологические тонические сгибания в ответ на боль</t>
  </si>
  <si>
    <t>Лейкоцитоз</t>
  </si>
  <si>
    <t>Патологические тонические разгибания в ответ на боль</t>
  </si>
  <si>
    <t>глюкоза</t>
  </si>
  <si>
    <t>Отсутствие двигательной реакции в ответ на боль</t>
  </si>
  <si>
    <t>Калий</t>
  </si>
  <si>
    <t>Словесные  ответы</t>
  </si>
  <si>
    <t>Натрий</t>
  </si>
  <si>
    <t>Сохранность ориентировки, быстрые правильные ответы</t>
  </si>
  <si>
    <r>
      <rPr>
        <sz val="8"/>
        <rFont val="Arial Cyr"/>
        <charset val="204"/>
      </rPr>
      <t>HCO</t>
    </r>
    <r>
      <rPr>
        <sz val="6"/>
        <rFont val="Arial Cyr"/>
        <charset val="204"/>
      </rPr>
      <t>3</t>
    </r>
  </si>
  <si>
    <t>Спутанная речь</t>
  </si>
  <si>
    <t>Глазго</t>
  </si>
  <si>
    <t>Отдельные невнятные слова; неадекватные ответы</t>
  </si>
  <si>
    <t>Нечленораздельные звуки</t>
  </si>
  <si>
    <t>Сумма баллов</t>
  </si>
  <si>
    <t>Отсутствие речи</t>
  </si>
  <si>
    <t>Результат</t>
  </si>
  <si>
    <t>план</t>
  </si>
  <si>
    <t>Интерпретация</t>
  </si>
  <si>
    <t>экстр</t>
  </si>
  <si>
    <t>ИНТЕРПРЕТАЦИЯ  ПОКАЗАТЕЛЕЙ  КИСЛОТНО - ОСНОВНОГО  СОСТОЯНИЯ</t>
  </si>
  <si>
    <t>норма</t>
  </si>
  <si>
    <t>рН</t>
  </si>
  <si>
    <t>7,36 - 7,44</t>
  </si>
  <si>
    <r>
      <rPr>
        <b/>
        <sz val="12"/>
        <color rgb="FF0000FF"/>
        <rFont val="Arial Cyr"/>
        <charset val="204"/>
      </rPr>
      <t>рСО</t>
    </r>
    <r>
      <rPr>
        <sz val="8"/>
        <color rgb="FF0000FF"/>
        <rFont val="Arial Cyr"/>
        <charset val="204"/>
      </rPr>
      <t>2</t>
    </r>
  </si>
  <si>
    <t>36 - 44</t>
  </si>
  <si>
    <t>mm Hg</t>
  </si>
  <si>
    <t>к 1</t>
  </si>
  <si>
    <t>к 2</t>
  </si>
  <si>
    <t>К</t>
  </si>
  <si>
    <t>Формула</t>
  </si>
  <si>
    <r>
      <rPr>
        <b/>
        <sz val="12"/>
        <color rgb="FF0000FF"/>
        <rFont val="Arial Cyr"/>
        <charset val="204"/>
      </rPr>
      <t>НСО</t>
    </r>
    <r>
      <rPr>
        <sz val="8"/>
        <color rgb="FF0000FF"/>
        <rFont val="Arial Cyr"/>
        <charset val="204"/>
      </rPr>
      <t>3</t>
    </r>
  </si>
  <si>
    <t>22 - 25</t>
  </si>
  <si>
    <t>mmol / L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</si>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</sst>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dd/mm/yyyy"/>
    <numFmt numFmtId="166" formatCode="0.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7"/>
      <name val="Arial Cyr"/>
      <charset val="204"/>
    </font>
    <font>
      <b/>
      <sz val="28"/>
      <name val="Times New Roman"/>
      <family val="1"/>
      <charset val="204"/>
    </font>
    <font>
      <sz val="6"/>
      <name val="Arial Cyr"/>
      <charset val="204"/>
    </font>
    <font>
      <sz val="5"/>
      <name val="Arial Cyr"/>
      <charset val="204"/>
    </font>
    <font>
      <b/>
      <i/>
      <sz val="10"/>
      <color rgb="FFFF000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sz val="7"/>
      <name val="Arial Cyr"/>
      <charset val="204"/>
    </font>
    <font>
      <b/>
      <sz val="8"/>
      <color rgb="FF000000"/>
      <name val="Tahoma"/>
      <charset val="204"/>
    </font>
    <font>
      <b/>
      <sz val="10"/>
      <color rgb="FF0000FF"/>
      <name val="Arial Cyr"/>
      <charset val="204"/>
    </font>
    <font>
      <b/>
      <sz val="8"/>
      <name val="Arial Cyr"/>
      <charset val="204"/>
    </font>
    <font>
      <b/>
      <sz val="12"/>
      <color rgb="FF0000FF"/>
      <name val="Arial Cyr"/>
      <charset val="204"/>
    </font>
    <font>
      <b/>
      <sz val="12"/>
      <name val="Arial Cyr"/>
      <charset val="204"/>
    </font>
    <font>
      <sz val="14"/>
      <color rgb="FFFF0000"/>
      <name val="Arial Cyr"/>
      <charset val="204"/>
    </font>
    <font>
      <sz val="8"/>
      <color rgb="FF0000FF"/>
      <name val="Arial Cyr"/>
      <charset val="204"/>
    </font>
    <font>
      <b/>
      <sz val="6"/>
      <color rgb="FF339966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00CCFF"/>
        <bgColor rgb="FF33CCCC"/>
      </patternFill>
    </fill>
    <fill>
      <patternFill patternType="solid">
        <fgColor rgb="FF33CCCC"/>
        <bgColor rgb="FF00CC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165" fontId="12" fillId="2" borderId="0" xfId="0" applyNumberFormat="1" applyFont="1" applyFill="1" applyBorder="1" applyAlignment="1" applyProtection="1">
      <alignment horizontal="right" vertical="center"/>
      <protection hidden="1"/>
    </xf>
    <xf numFmtId="165" fontId="12" fillId="2" borderId="0" xfId="0" applyNumberFormat="1" applyFont="1" applyFill="1" applyBorder="1" applyAlignment="1"/>
    <xf numFmtId="165" fontId="6" fillId="2" borderId="2" xfId="0" applyNumberFormat="1" applyFont="1" applyFill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1" fontId="2" fillId="3" borderId="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13" xfId="0" applyNumberFormat="1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0" fontId="0" fillId="2" borderId="0" xfId="0" applyFill="1"/>
    <xf numFmtId="0" fontId="0" fillId="4" borderId="0" xfId="0" applyFill="1"/>
    <xf numFmtId="0" fontId="2" fillId="4" borderId="0" xfId="0" applyFont="1" applyFill="1"/>
    <xf numFmtId="0" fontId="7" fillId="4" borderId="0" xfId="0" applyFont="1" applyFill="1"/>
    <xf numFmtId="0" fontId="0" fillId="3" borderId="0" xfId="0" applyFill="1"/>
    <xf numFmtId="0" fontId="8" fillId="3" borderId="0" xfId="0" applyFont="1" applyFill="1"/>
    <xf numFmtId="49" fontId="0" fillId="0" borderId="0" xfId="0" applyNumberFormat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0" fillId="5" borderId="5" xfId="0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>
      <alignment horizontal="center" vertical="center"/>
    </xf>
    <xf numFmtId="0" fontId="1" fillId="4" borderId="0" xfId="0" applyFont="1" applyFill="1"/>
    <xf numFmtId="0" fontId="1" fillId="5" borderId="5" xfId="0" applyFont="1" applyFill="1" applyBorder="1" applyAlignment="1" applyProtection="1">
      <alignment horizontal="center" vertical="center"/>
      <protection locked="0" hidden="1"/>
    </xf>
    <xf numFmtId="0" fontId="1" fillId="6" borderId="5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0" xfId="0" applyFont="1"/>
    <xf numFmtId="0" fontId="0" fillId="7" borderId="0" xfId="0" applyFill="1"/>
    <xf numFmtId="0" fontId="8" fillId="7" borderId="0" xfId="0" applyFont="1" applyFill="1"/>
    <xf numFmtId="0" fontId="9" fillId="7" borderId="0" xfId="0" applyFont="1" applyFill="1"/>
    <xf numFmtId="0" fontId="10" fillId="7" borderId="0" xfId="0" applyFont="1" applyFill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/>
    <xf numFmtId="0" fontId="8" fillId="8" borderId="0" xfId="0" applyFont="1" applyFill="1"/>
    <xf numFmtId="0" fontId="9" fillId="8" borderId="0" xfId="0" applyFont="1" applyFill="1"/>
    <xf numFmtId="0" fontId="10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6" borderId="0" xfId="0" applyFont="1" applyFill="1"/>
    <xf numFmtId="0" fontId="0" fillId="6" borderId="0" xfId="0" applyFill="1"/>
    <xf numFmtId="0" fontId="0" fillId="6" borderId="0" xfId="0" applyFont="1" applyFill="1" applyAlignment="1">
      <alignment horizontal="right"/>
    </xf>
    <xf numFmtId="0" fontId="2" fillId="6" borderId="0" xfId="0" applyFont="1" applyFill="1" applyBorder="1" applyAlignment="1">
      <alignment horizontal="center"/>
    </xf>
    <xf numFmtId="0" fontId="8" fillId="4" borderId="0" xfId="0" applyFont="1" applyFill="1"/>
    <xf numFmtId="0" fontId="11" fillId="4" borderId="0" xfId="0" applyFont="1" applyFill="1"/>
    <xf numFmtId="0" fontId="12" fillId="2" borderId="0" xfId="0" applyFont="1" applyFill="1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9" borderId="0" xfId="0" applyFill="1" applyProtection="1">
      <protection hidden="1"/>
    </xf>
    <xf numFmtId="0" fontId="14" fillId="9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166" fontId="17" fillId="5" borderId="5" xfId="0" applyNumberFormat="1" applyFont="1" applyFill="1" applyBorder="1" applyAlignment="1" applyProtection="1">
      <alignment horizontal="center" vertical="center"/>
      <protection locked="0"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0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0" fillId="4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66" fontId="17" fillId="5" borderId="5" xfId="0" applyNumberFormat="1" applyFont="1" applyFill="1" applyBorder="1" applyAlignment="1" applyProtection="1">
      <alignment horizontal="center" vertical="center"/>
      <protection locked="0"/>
    </xf>
    <xf numFmtId="0" fontId="0" fillId="10" borderId="20" xfId="0" applyFont="1" applyFill="1" applyBorder="1" applyProtection="1">
      <protection hidden="1"/>
    </xf>
    <xf numFmtId="0" fontId="0" fillId="10" borderId="21" xfId="0" applyFill="1" applyBorder="1" applyProtection="1"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0" fillId="11" borderId="0" xfId="0" applyFill="1" applyProtection="1">
      <protection hidden="1"/>
    </xf>
    <xf numFmtId="0" fontId="2" fillId="6" borderId="0" xfId="0" applyFont="1" applyFill="1" applyAlignment="1" applyProtection="1">
      <alignment horizontal="left"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0" fillId="1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13" borderId="0" xfId="0" applyFill="1" applyProtection="1">
      <protection hidden="1"/>
    </xf>
    <xf numFmtId="0" fontId="20" fillId="2" borderId="0" xfId="0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171450</xdr:colOff>
      <xdr:row>70</xdr:row>
      <xdr:rowOff>76200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2.28515625" style="7" customWidth="1"/>
    <col min="2" max="2" width="1.5703125" style="7" customWidth="1"/>
    <col min="3" max="20" width="4.28515625" style="7" customWidth="1"/>
    <col min="21" max="21" width="6.140625" style="7" customWidth="1"/>
    <col min="22" max="22" width="4.28515625" style="7" customWidth="1"/>
    <col min="23" max="23" width="1.42578125" style="7" customWidth="1"/>
    <col min="24" max="24" width="2.28515625" style="7" customWidth="1"/>
    <col min="25" max="49" width="3.7109375" style="7" customWidth="1"/>
    <col min="50" max="1025" width="9.140625" style="7" customWidth="1"/>
  </cols>
  <sheetData>
    <row r="1" spans="1:24" ht="11.2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5.65" customHeight="1" x14ac:dyDescent="0.2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1"/>
      <c r="T2" s="11"/>
      <c r="U2" s="11"/>
      <c r="V2" s="11"/>
      <c r="W2" s="12"/>
      <c r="X2" s="8"/>
    </row>
    <row r="3" spans="1:24" ht="15" customHeight="1" x14ac:dyDescent="0.2">
      <c r="A3" s="8"/>
      <c r="B3" s="13"/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14"/>
      <c r="O3" s="14"/>
      <c r="P3" s="14"/>
      <c r="Q3" s="14"/>
      <c r="R3" s="15"/>
      <c r="S3" s="14"/>
      <c r="T3" s="15" t="s">
        <v>1</v>
      </c>
      <c r="U3" s="16">
        <v>85</v>
      </c>
      <c r="V3" s="17" t="s">
        <v>2</v>
      </c>
      <c r="W3" s="18"/>
      <c r="X3" s="8"/>
    </row>
    <row r="4" spans="1:24" ht="5.65" customHeight="1" x14ac:dyDescent="0.2">
      <c r="A4" s="8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8"/>
      <c r="X4" s="8"/>
    </row>
    <row r="5" spans="1:24" ht="9.9499999999999993" customHeight="1" x14ac:dyDescent="0.2">
      <c r="A5" s="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  <c r="S5" s="21"/>
      <c r="T5" s="21"/>
      <c r="U5" s="21"/>
      <c r="V5" s="21"/>
      <c r="W5" s="22"/>
      <c r="X5" s="8"/>
    </row>
    <row r="6" spans="1:24" ht="5.65" customHeight="1" x14ac:dyDescent="0.2">
      <c r="A6" s="8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8"/>
      <c r="X6" s="8"/>
    </row>
    <row r="7" spans="1:24" ht="15" customHeight="1" x14ac:dyDescent="0.2">
      <c r="A7" s="8"/>
      <c r="B7" s="23"/>
      <c r="C7" s="24" t="s">
        <v>3</v>
      </c>
      <c r="D7" s="15"/>
      <c r="E7" s="15"/>
      <c r="F7" s="14"/>
      <c r="G7" s="25">
        <v>4</v>
      </c>
      <c r="H7" s="15" t="s">
        <v>4</v>
      </c>
      <c r="I7" s="25">
        <v>5</v>
      </c>
      <c r="J7" s="15" t="s">
        <v>5</v>
      </c>
      <c r="K7" s="25">
        <v>45</v>
      </c>
      <c r="L7" s="15" t="s">
        <v>6</v>
      </c>
      <c r="P7" s="15"/>
      <c r="Q7" s="15"/>
      <c r="R7" s="26" t="s">
        <v>7</v>
      </c>
      <c r="S7" s="26">
        <f>G7*I7*10</f>
        <v>200</v>
      </c>
      <c r="T7" s="17" t="s">
        <v>8</v>
      </c>
      <c r="U7" s="17">
        <f>I7+K7</f>
        <v>50</v>
      </c>
      <c r="V7" s="15" t="s">
        <v>9</v>
      </c>
      <c r="W7" s="18"/>
      <c r="X7" s="8"/>
    </row>
    <row r="8" spans="1:24" ht="5.65" customHeight="1" x14ac:dyDescent="0.2">
      <c r="A8" s="8"/>
      <c r="B8" s="2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8"/>
      <c r="X8" s="8"/>
    </row>
    <row r="9" spans="1:24" x14ac:dyDescent="0.2">
      <c r="A9" s="8"/>
      <c r="B9" s="23"/>
      <c r="C9" s="5" t="s">
        <v>10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8"/>
      <c r="X9" s="8"/>
    </row>
    <row r="10" spans="1:24" x14ac:dyDescent="0.2">
      <c r="A10" s="8"/>
      <c r="B10" s="23"/>
      <c r="C10" s="27">
        <v>1</v>
      </c>
      <c r="D10" s="28">
        <v>2</v>
      </c>
      <c r="E10" s="28">
        <v>3</v>
      </c>
      <c r="F10" s="28">
        <v>4</v>
      </c>
      <c r="G10" s="28">
        <v>5</v>
      </c>
      <c r="H10" s="28">
        <v>6</v>
      </c>
      <c r="I10" s="28">
        <v>7</v>
      </c>
      <c r="J10" s="28">
        <v>8</v>
      </c>
      <c r="K10" s="28">
        <v>9</v>
      </c>
      <c r="L10" s="28">
        <v>10</v>
      </c>
      <c r="M10" s="28">
        <v>11</v>
      </c>
      <c r="N10" s="28">
        <v>12</v>
      </c>
      <c r="O10" s="28">
        <v>13</v>
      </c>
      <c r="P10" s="28">
        <v>14</v>
      </c>
      <c r="Q10" s="28">
        <v>15</v>
      </c>
      <c r="R10" s="28">
        <v>16</v>
      </c>
      <c r="S10" s="28">
        <v>17</v>
      </c>
      <c r="T10" s="28">
        <v>18</v>
      </c>
      <c r="U10" s="28">
        <v>19</v>
      </c>
      <c r="V10" s="29">
        <v>20</v>
      </c>
      <c r="W10" s="18"/>
      <c r="X10" s="8"/>
    </row>
    <row r="11" spans="1:24" ht="20.100000000000001" customHeight="1" x14ac:dyDescent="0.2">
      <c r="A11" s="8"/>
      <c r="B11" s="23"/>
      <c r="C11" s="30">
        <f>(U3*C10*60)/((G7*I7*10000)/(I7+K7))</f>
        <v>1.2749999999999999</v>
      </c>
      <c r="D11" s="31">
        <f>D10*C11</f>
        <v>2.5499999999999998</v>
      </c>
      <c r="E11" s="31">
        <f>E10*C11</f>
        <v>3.8249999999999997</v>
      </c>
      <c r="F11" s="31">
        <f>F10*C11</f>
        <v>5.0999999999999996</v>
      </c>
      <c r="G11" s="31">
        <f>G10*C11</f>
        <v>6.375</v>
      </c>
      <c r="H11" s="31">
        <f>H10*C11</f>
        <v>7.6499999999999995</v>
      </c>
      <c r="I11" s="31">
        <f>I10*C11</f>
        <v>8.9249999999999989</v>
      </c>
      <c r="J11" s="31">
        <f>J10*C11</f>
        <v>10.199999999999999</v>
      </c>
      <c r="K11" s="31">
        <f>K10*C11</f>
        <v>11.475</v>
      </c>
      <c r="L11" s="31">
        <f>L10*C11</f>
        <v>12.75</v>
      </c>
      <c r="M11" s="31">
        <f>M10*C11</f>
        <v>14.024999999999999</v>
      </c>
      <c r="N11" s="31">
        <f>N10*C11</f>
        <v>15.299999999999999</v>
      </c>
      <c r="O11" s="31">
        <f>O10*C11</f>
        <v>16.574999999999999</v>
      </c>
      <c r="P11" s="31">
        <f>P10*C11</f>
        <v>17.849999999999998</v>
      </c>
      <c r="Q11" s="31">
        <f>Q10*C11</f>
        <v>19.125</v>
      </c>
      <c r="R11" s="31">
        <f>R10*C11</f>
        <v>20.399999999999999</v>
      </c>
      <c r="S11" s="31">
        <f>S10*C11</f>
        <v>21.674999999999997</v>
      </c>
      <c r="T11" s="31">
        <f>T10*C11</f>
        <v>22.95</v>
      </c>
      <c r="U11" s="31">
        <f>U10*C11</f>
        <v>24.224999999999998</v>
      </c>
      <c r="V11" s="32">
        <f>V10*C11</f>
        <v>25.5</v>
      </c>
      <c r="W11" s="18"/>
      <c r="X11" s="8"/>
    </row>
    <row r="12" spans="1:24" ht="5.65" customHeight="1" x14ac:dyDescent="0.2">
      <c r="A12" s="8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8"/>
      <c r="X12" s="8"/>
    </row>
    <row r="13" spans="1:24" x14ac:dyDescent="0.2">
      <c r="A13" s="8"/>
      <c r="B13" s="3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8"/>
    </row>
    <row r="14" spans="1:24" ht="5.65" customHeight="1" x14ac:dyDescent="0.2">
      <c r="A14" s="8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8"/>
      <c r="X14" s="8"/>
    </row>
    <row r="15" spans="1:24" x14ac:dyDescent="0.2">
      <c r="A15" s="8"/>
      <c r="B15" s="23"/>
      <c r="C15" s="24" t="s">
        <v>11</v>
      </c>
      <c r="D15" s="15"/>
      <c r="E15" s="15"/>
      <c r="F15" s="14"/>
      <c r="G15" s="25">
        <v>2.5</v>
      </c>
      <c r="H15" s="15" t="s">
        <v>4</v>
      </c>
      <c r="I15" s="25">
        <v>10</v>
      </c>
      <c r="J15" s="15" t="s">
        <v>12</v>
      </c>
      <c r="K15" s="25">
        <v>40</v>
      </c>
      <c r="L15" s="15" t="s">
        <v>6</v>
      </c>
      <c r="P15" s="15"/>
      <c r="Q15" s="15"/>
      <c r="R15" s="26" t="s">
        <v>7</v>
      </c>
      <c r="S15" s="15">
        <f>G15*I15*10</f>
        <v>250</v>
      </c>
      <c r="T15" s="17" t="s">
        <v>8</v>
      </c>
      <c r="U15" s="17">
        <f>I15+K15</f>
        <v>50</v>
      </c>
      <c r="V15" s="15" t="s">
        <v>9</v>
      </c>
      <c r="W15" s="18"/>
      <c r="X15" s="8"/>
    </row>
    <row r="16" spans="1:24" ht="5.65" customHeight="1" x14ac:dyDescent="0.2">
      <c r="A16" s="8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8"/>
      <c r="X16" s="8"/>
    </row>
    <row r="17" spans="1:24" x14ac:dyDescent="0.2">
      <c r="A17" s="8"/>
      <c r="B17" s="23"/>
      <c r="C17" s="5" t="s">
        <v>10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8"/>
      <c r="X17" s="8"/>
    </row>
    <row r="18" spans="1:24" x14ac:dyDescent="0.2">
      <c r="A18" s="8"/>
      <c r="B18" s="23"/>
      <c r="C18" s="27">
        <v>1</v>
      </c>
      <c r="D18" s="28">
        <v>2</v>
      </c>
      <c r="E18" s="28">
        <v>3</v>
      </c>
      <c r="F18" s="28">
        <v>4</v>
      </c>
      <c r="G18" s="28">
        <v>5</v>
      </c>
      <c r="H18" s="28">
        <v>6</v>
      </c>
      <c r="I18" s="28">
        <v>7</v>
      </c>
      <c r="J18" s="28">
        <v>8</v>
      </c>
      <c r="K18" s="28">
        <v>9</v>
      </c>
      <c r="L18" s="28">
        <v>10</v>
      </c>
      <c r="M18" s="28">
        <v>11</v>
      </c>
      <c r="N18" s="28">
        <v>12</v>
      </c>
      <c r="O18" s="28">
        <v>13</v>
      </c>
      <c r="P18" s="28">
        <v>14</v>
      </c>
      <c r="Q18" s="28">
        <v>15</v>
      </c>
      <c r="R18" s="28">
        <v>16</v>
      </c>
      <c r="S18" s="28">
        <v>17</v>
      </c>
      <c r="T18" s="28">
        <v>18</v>
      </c>
      <c r="U18" s="28">
        <v>19</v>
      </c>
      <c r="V18" s="29">
        <v>20</v>
      </c>
      <c r="W18" s="18"/>
      <c r="X18" s="8"/>
    </row>
    <row r="19" spans="1:24" x14ac:dyDescent="0.2">
      <c r="A19" s="8"/>
      <c r="B19" s="23"/>
      <c r="C19" s="30">
        <f>(U3*C18*60)/((G15*I15*10000)/(I15+K15))</f>
        <v>1.02</v>
      </c>
      <c r="D19" s="31">
        <f>C19*2</f>
        <v>2.04</v>
      </c>
      <c r="E19" s="31">
        <f>C19*3</f>
        <v>3.06</v>
      </c>
      <c r="F19" s="31">
        <f>C19*4</f>
        <v>4.08</v>
      </c>
      <c r="G19" s="31">
        <f>C19*G18</f>
        <v>5.0999999999999996</v>
      </c>
      <c r="H19" s="31">
        <f>H18*C19</f>
        <v>6.12</v>
      </c>
      <c r="I19" s="31">
        <f>I18*C19</f>
        <v>7.1400000000000006</v>
      </c>
      <c r="J19" s="31">
        <f>J18*C19</f>
        <v>8.16</v>
      </c>
      <c r="K19" s="31">
        <f>K18*C19</f>
        <v>9.18</v>
      </c>
      <c r="L19" s="31">
        <f>L18*C19</f>
        <v>10.199999999999999</v>
      </c>
      <c r="M19" s="31">
        <f>M18*C19</f>
        <v>11.22</v>
      </c>
      <c r="N19" s="31">
        <f>N18*C19</f>
        <v>12.24</v>
      </c>
      <c r="O19" s="31">
        <f>O18*C19</f>
        <v>13.26</v>
      </c>
      <c r="P19" s="31">
        <f>P18*C19</f>
        <v>14.280000000000001</v>
      </c>
      <c r="Q19" s="31">
        <f>Q18*C19</f>
        <v>15.3</v>
      </c>
      <c r="R19" s="31">
        <f>R18*C19</f>
        <v>16.32</v>
      </c>
      <c r="S19" s="31">
        <f>S18*C19</f>
        <v>17.34</v>
      </c>
      <c r="T19" s="31">
        <f>T18*C19</f>
        <v>18.36</v>
      </c>
      <c r="U19" s="31">
        <f>U18*C19</f>
        <v>19.38</v>
      </c>
      <c r="V19" s="32">
        <f>V18*C19</f>
        <v>20.399999999999999</v>
      </c>
      <c r="W19" s="18"/>
      <c r="X19" s="8"/>
    </row>
    <row r="20" spans="1:24" ht="5.65" customHeight="1" x14ac:dyDescent="0.2">
      <c r="A20" s="8"/>
      <c r="B20" s="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8"/>
      <c r="X20" s="8"/>
    </row>
    <row r="21" spans="1:24" x14ac:dyDescent="0.2">
      <c r="A21" s="8"/>
      <c r="B21" s="3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8"/>
    </row>
    <row r="22" spans="1:24" ht="5.65" customHeight="1" x14ac:dyDescent="0.2">
      <c r="A22" s="8"/>
      <c r="B22" s="2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8"/>
      <c r="X22" s="8"/>
    </row>
    <row r="23" spans="1:24" x14ac:dyDescent="0.2">
      <c r="A23" s="8"/>
      <c r="B23" s="23"/>
      <c r="C23" s="24" t="s">
        <v>13</v>
      </c>
      <c r="D23" s="15"/>
      <c r="E23" s="15"/>
      <c r="F23" s="14"/>
      <c r="G23" s="25">
        <v>0.2</v>
      </c>
      <c r="H23" s="15" t="s">
        <v>4</v>
      </c>
      <c r="I23" s="25">
        <v>8</v>
      </c>
      <c r="J23" s="15" t="s">
        <v>12</v>
      </c>
      <c r="K23" s="25">
        <v>42</v>
      </c>
      <c r="L23" s="15" t="s">
        <v>6</v>
      </c>
      <c r="P23" s="15"/>
      <c r="Q23" s="15"/>
      <c r="R23" s="26" t="s">
        <v>7</v>
      </c>
      <c r="S23" s="15">
        <f>G23*I23*10</f>
        <v>16</v>
      </c>
      <c r="T23" s="17" t="s">
        <v>8</v>
      </c>
      <c r="U23" s="17">
        <f>I23+K23</f>
        <v>50</v>
      </c>
      <c r="V23" s="15" t="s">
        <v>9</v>
      </c>
      <c r="W23" s="18"/>
      <c r="X23" s="8"/>
    </row>
    <row r="24" spans="1:24" ht="5.65" customHeight="1" x14ac:dyDescent="0.2">
      <c r="A24" s="8"/>
      <c r="B24" s="2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8"/>
      <c r="X24" s="8"/>
    </row>
    <row r="25" spans="1:24" x14ac:dyDescent="0.2">
      <c r="A25" s="8"/>
      <c r="B25" s="23"/>
      <c r="C25" s="5" t="s">
        <v>10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8"/>
      <c r="X25" s="8"/>
    </row>
    <row r="26" spans="1:24" x14ac:dyDescent="0.2">
      <c r="A26" s="8"/>
      <c r="B26" s="23"/>
      <c r="C26" s="27">
        <v>0.1</v>
      </c>
      <c r="D26" s="28">
        <v>0.2</v>
      </c>
      <c r="E26" s="27">
        <v>0.3</v>
      </c>
      <c r="F26" s="28">
        <v>0.4</v>
      </c>
      <c r="G26" s="27">
        <v>0.5</v>
      </c>
      <c r="H26" s="28">
        <v>0.6</v>
      </c>
      <c r="I26" s="27">
        <v>0.7</v>
      </c>
      <c r="J26" s="28">
        <v>0.8</v>
      </c>
      <c r="K26" s="27">
        <v>0.9</v>
      </c>
      <c r="L26" s="28">
        <v>1</v>
      </c>
      <c r="M26" s="27">
        <v>1.1000000000000001</v>
      </c>
      <c r="N26" s="28">
        <v>1.2</v>
      </c>
      <c r="O26" s="27">
        <v>1.3</v>
      </c>
      <c r="P26" s="28">
        <v>1.4</v>
      </c>
      <c r="Q26" s="27">
        <v>1.5</v>
      </c>
      <c r="R26" s="28">
        <v>1.6</v>
      </c>
      <c r="S26" s="27">
        <v>1.7</v>
      </c>
      <c r="T26" s="28">
        <v>1.8</v>
      </c>
      <c r="U26" s="27">
        <v>1.9</v>
      </c>
      <c r="V26" s="28">
        <v>2</v>
      </c>
      <c r="W26" s="18"/>
      <c r="X26" s="8"/>
    </row>
    <row r="27" spans="1:24" x14ac:dyDescent="0.2">
      <c r="A27" s="8"/>
      <c r="B27" s="23"/>
      <c r="C27" s="30">
        <f>(U3*C26*60)/((G23*I23*10000)/(I23+K23))</f>
        <v>1.59375</v>
      </c>
      <c r="D27" s="31">
        <f>C27*2</f>
        <v>3.1875</v>
      </c>
      <c r="E27" s="31">
        <f>C27*3</f>
        <v>4.78125</v>
      </c>
      <c r="F27" s="31">
        <f>C27*4</f>
        <v>6.375</v>
      </c>
      <c r="G27" s="31">
        <f>C27*5</f>
        <v>7.96875</v>
      </c>
      <c r="H27" s="31">
        <f>C27*6</f>
        <v>9.5625</v>
      </c>
      <c r="I27" s="31">
        <f>C27*7</f>
        <v>11.15625</v>
      </c>
      <c r="J27" s="31">
        <f>8*C27</f>
        <v>12.75</v>
      </c>
      <c r="K27" s="31">
        <f>9*C27</f>
        <v>14.34375</v>
      </c>
      <c r="L27" s="31">
        <f>10*C27</f>
        <v>15.9375</v>
      </c>
      <c r="M27" s="31">
        <f>11*C27</f>
        <v>17.53125</v>
      </c>
      <c r="N27" s="31">
        <f>12*C27</f>
        <v>19.125</v>
      </c>
      <c r="O27" s="31">
        <f>13*C27</f>
        <v>20.71875</v>
      </c>
      <c r="P27" s="31">
        <f>14*C27</f>
        <v>22.3125</v>
      </c>
      <c r="Q27" s="31">
        <f>15*C27</f>
        <v>23.90625</v>
      </c>
      <c r="R27" s="31">
        <f>16*C27</f>
        <v>25.5</v>
      </c>
      <c r="S27" s="31">
        <f>17*C27</f>
        <v>27.09375</v>
      </c>
      <c r="T27" s="31">
        <f>18*C27</f>
        <v>28.6875</v>
      </c>
      <c r="U27" s="31">
        <f>19*C27</f>
        <v>30.28125</v>
      </c>
      <c r="V27" s="32">
        <f>20*C27</f>
        <v>31.875</v>
      </c>
      <c r="W27" s="18"/>
      <c r="X27" s="8"/>
    </row>
    <row r="28" spans="1:24" ht="5.65" customHeight="1" x14ac:dyDescent="0.2">
      <c r="A28" s="8"/>
      <c r="B28" s="2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8"/>
      <c r="X28" s="8"/>
    </row>
    <row r="29" spans="1:24" ht="9.9499999999999993" customHeight="1" x14ac:dyDescent="0.2">
      <c r="A29" s="8"/>
      <c r="B29" s="3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  <c r="X29" s="8"/>
    </row>
    <row r="30" spans="1:24" ht="5.65" customHeight="1" x14ac:dyDescent="0.2">
      <c r="A30" s="8"/>
      <c r="B30" s="2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8"/>
      <c r="X30" s="8"/>
    </row>
    <row r="31" spans="1:24" ht="15" customHeight="1" x14ac:dyDescent="0.2">
      <c r="A31" s="8"/>
      <c r="B31" s="23"/>
      <c r="C31" s="24" t="s">
        <v>14</v>
      </c>
      <c r="D31" s="15"/>
      <c r="E31" s="15"/>
      <c r="F31" s="14"/>
      <c r="G31" s="25">
        <v>0.1</v>
      </c>
      <c r="H31" s="15" t="s">
        <v>4</v>
      </c>
      <c r="I31" s="25">
        <v>2</v>
      </c>
      <c r="J31" s="15" t="s">
        <v>12</v>
      </c>
      <c r="K31" s="25">
        <v>48</v>
      </c>
      <c r="L31" s="15" t="s">
        <v>6</v>
      </c>
      <c r="P31" s="15"/>
      <c r="Q31" s="15"/>
      <c r="R31" s="26" t="s">
        <v>7</v>
      </c>
      <c r="S31" s="26">
        <f>G31*I31*10</f>
        <v>2</v>
      </c>
      <c r="T31" s="17" t="s">
        <v>8</v>
      </c>
      <c r="U31" s="17">
        <f>I31+K31</f>
        <v>50</v>
      </c>
      <c r="V31" s="15" t="s">
        <v>9</v>
      </c>
      <c r="W31" s="18"/>
      <c r="X31" s="8"/>
    </row>
    <row r="32" spans="1:24" ht="5.65" customHeight="1" x14ac:dyDescent="0.2">
      <c r="A32" s="8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4"/>
      <c r="X32" s="8"/>
    </row>
    <row r="33" spans="1:24" x14ac:dyDescent="0.2">
      <c r="A33" s="8"/>
      <c r="B33" s="13"/>
      <c r="C33" s="5" t="s">
        <v>15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34"/>
      <c r="X33" s="8"/>
    </row>
    <row r="34" spans="1:24" x14ac:dyDescent="0.2">
      <c r="A34" s="8"/>
      <c r="B34" s="23"/>
      <c r="C34" s="27">
        <v>1</v>
      </c>
      <c r="D34" s="28"/>
      <c r="E34" s="28">
        <v>2</v>
      </c>
      <c r="F34" s="28"/>
      <c r="G34" s="28">
        <v>3</v>
      </c>
      <c r="H34" s="28"/>
      <c r="I34" s="28">
        <v>4</v>
      </c>
      <c r="J34" s="28"/>
      <c r="K34" s="28">
        <v>5</v>
      </c>
      <c r="L34" s="28"/>
      <c r="M34" s="28">
        <v>6</v>
      </c>
      <c r="N34" s="28"/>
      <c r="O34" s="28">
        <v>7</v>
      </c>
      <c r="P34" s="28"/>
      <c r="Q34" s="28">
        <v>8</v>
      </c>
      <c r="R34" s="28"/>
      <c r="S34" s="35"/>
      <c r="T34" s="35"/>
      <c r="U34" s="35"/>
      <c r="V34" s="36"/>
      <c r="W34" s="34"/>
      <c r="X34" s="8"/>
    </row>
    <row r="35" spans="1:24" ht="20.100000000000001" customHeight="1" x14ac:dyDescent="0.2">
      <c r="A35" s="8"/>
      <c r="B35" s="23"/>
      <c r="C35" s="30">
        <f>(C34*60)/((G31*I31*10000)/(I31+K31))</f>
        <v>1.5</v>
      </c>
      <c r="D35" s="31"/>
      <c r="E35" s="31">
        <f>E34*C35</f>
        <v>3</v>
      </c>
      <c r="F35" s="31"/>
      <c r="G35" s="31">
        <f>G34*C35</f>
        <v>4.5</v>
      </c>
      <c r="H35" s="31"/>
      <c r="I35" s="31">
        <f>I34*C35</f>
        <v>6</v>
      </c>
      <c r="J35" s="31"/>
      <c r="K35" s="31">
        <f>K34*C35</f>
        <v>7.5</v>
      </c>
      <c r="L35" s="31"/>
      <c r="M35" s="31">
        <f>M34*C35</f>
        <v>9</v>
      </c>
      <c r="N35" s="31"/>
      <c r="O35" s="31">
        <f>O34*C35</f>
        <v>10.5</v>
      </c>
      <c r="P35" s="31"/>
      <c r="Q35" s="31">
        <f>Q34*C35</f>
        <v>12</v>
      </c>
      <c r="R35" s="4" t="s">
        <v>16</v>
      </c>
      <c r="S35" s="4"/>
      <c r="T35" s="4"/>
      <c r="U35" s="37" t="s">
        <v>17</v>
      </c>
      <c r="V35" s="38"/>
      <c r="W35" s="34"/>
      <c r="X35" s="8"/>
    </row>
    <row r="36" spans="1:24" ht="5.65" customHeight="1" x14ac:dyDescent="0.2">
      <c r="A36" s="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/>
      <c r="S36" s="41"/>
      <c r="T36" s="41"/>
      <c r="U36" s="41"/>
      <c r="V36" s="41"/>
      <c r="W36" s="42"/>
      <c r="X36" s="8"/>
    </row>
    <row r="37" spans="1:24" ht="12" customHeight="1" x14ac:dyDescent="0.2">
      <c r="A37" s="8"/>
      <c r="B37" s="43" t="s">
        <v>18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8"/>
      <c r="S37" s="8"/>
      <c r="T37" s="8"/>
      <c r="U37" s="45" t="s">
        <v>19</v>
      </c>
      <c r="V37" s="3" t="s">
        <v>20</v>
      </c>
      <c r="W37" s="3"/>
      <c r="X37" s="46"/>
    </row>
  </sheetData>
  <sheetProtection password="8FE9" sheet="1" objects="1" scenarios="1" selectLockedCells="1"/>
  <mergeCells count="7">
    <mergeCell ref="R35:T35"/>
    <mergeCell ref="V37:W37"/>
    <mergeCell ref="C3:M3"/>
    <mergeCell ref="C9:V9"/>
    <mergeCell ref="C17:V17"/>
    <mergeCell ref="C25:V25"/>
    <mergeCell ref="C33:V33"/>
  </mergeCells>
  <pageMargins left="0.39374999999999999" right="0.196527777777778" top="0.196527777777778" bottom="0.19652777777777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opLeftCell="A10" zoomScaleNormal="100" workbookViewId="0">
      <selection activeCell="I31" sqref="I31"/>
    </sheetView>
  </sheetViews>
  <sheetFormatPr defaultRowHeight="12.75" x14ac:dyDescent="0.2"/>
  <cols>
    <col min="1" max="2" width="2.85546875" customWidth="1"/>
    <col min="3" max="6" width="8.7109375" customWidth="1"/>
    <col min="7" max="7" width="8.28515625" customWidth="1"/>
    <col min="8" max="9" width="6.7109375" customWidth="1"/>
    <col min="10" max="12" width="2.7109375" customWidth="1"/>
    <col min="13" max="13" width="13.42578125" customWidth="1"/>
    <col min="14" max="14" width="6.7109375" customWidth="1"/>
    <col min="15" max="15" width="2.7109375" customWidth="1"/>
    <col min="16" max="16" width="6.7109375" customWidth="1"/>
    <col min="17" max="18" width="2.7109375" customWidth="1"/>
    <col min="19" max="1025" width="8.7109375" customWidth="1"/>
  </cols>
  <sheetData>
    <row r="1" spans="1:22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2" ht="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7"/>
      <c r="L2" s="48"/>
      <c r="M2" s="48"/>
      <c r="N2" s="48"/>
      <c r="O2" s="48"/>
      <c r="P2" s="48"/>
      <c r="Q2" s="48"/>
      <c r="R2" s="47"/>
    </row>
    <row r="3" spans="1:22" x14ac:dyDescent="0.2">
      <c r="A3" s="47"/>
      <c r="B3" s="48"/>
      <c r="C3" s="49" t="s">
        <v>21</v>
      </c>
      <c r="D3" s="48"/>
      <c r="E3" s="48"/>
      <c r="F3" s="50"/>
      <c r="G3" s="48"/>
      <c r="H3" s="48"/>
      <c r="I3" s="48"/>
      <c r="J3" s="48"/>
      <c r="K3" s="47"/>
      <c r="L3" s="48"/>
      <c r="M3" s="49" t="s">
        <v>22</v>
      </c>
      <c r="N3" s="48"/>
      <c r="O3" s="48"/>
      <c r="P3" s="48"/>
      <c r="Q3" s="48"/>
      <c r="R3" s="47"/>
    </row>
    <row r="4" spans="1:22" ht="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8"/>
      <c r="R4" s="47"/>
    </row>
    <row r="5" spans="1:22" ht="12.75" customHeight="1" x14ac:dyDescent="0.2">
      <c r="A5" s="47"/>
      <c r="B5" s="51"/>
      <c r="C5" s="52" t="s">
        <v>23</v>
      </c>
      <c r="D5" s="51"/>
      <c r="E5" s="51"/>
      <c r="F5" s="51"/>
      <c r="G5" s="51"/>
      <c r="H5" s="51"/>
      <c r="I5" s="51"/>
      <c r="J5" s="51"/>
      <c r="K5" s="47"/>
      <c r="L5" s="48"/>
      <c r="M5" s="48"/>
      <c r="N5" s="48"/>
      <c r="O5" s="48"/>
      <c r="P5" s="48"/>
      <c r="Q5" s="48"/>
      <c r="R5" s="47"/>
      <c r="V5" s="53"/>
    </row>
    <row r="6" spans="1:22" ht="6" customHeight="1" x14ac:dyDescent="0.2">
      <c r="A6" s="47"/>
      <c r="B6" s="51"/>
      <c r="C6" s="51"/>
      <c r="D6" s="51"/>
      <c r="E6" s="51"/>
      <c r="F6" s="51"/>
      <c r="G6" s="51"/>
      <c r="H6" s="51"/>
      <c r="I6" s="51"/>
      <c r="J6" s="51"/>
      <c r="K6" s="47"/>
      <c r="L6" s="48"/>
      <c r="M6" s="48"/>
      <c r="N6" s="48"/>
      <c r="O6" s="48"/>
      <c r="P6" s="48"/>
      <c r="Q6" s="48"/>
      <c r="R6" s="47"/>
      <c r="V6" s="53"/>
    </row>
    <row r="7" spans="1:22" ht="12.75" customHeight="1" x14ac:dyDescent="0.2">
      <c r="A7" s="47"/>
      <c r="B7" s="51"/>
      <c r="C7" s="54" t="s">
        <v>24</v>
      </c>
      <c r="D7" s="51"/>
      <c r="E7" s="51"/>
      <c r="F7" s="51"/>
      <c r="G7" s="51"/>
      <c r="H7" s="55">
        <v>4</v>
      </c>
      <c r="I7" s="56">
        <v>4</v>
      </c>
      <c r="J7" s="57"/>
      <c r="K7" s="47"/>
      <c r="L7" s="48"/>
      <c r="M7" s="58" t="s">
        <v>25</v>
      </c>
      <c r="N7" s="59">
        <v>36</v>
      </c>
      <c r="O7" s="48"/>
      <c r="P7" s="60">
        <f>IF(N7&lt;45,0,IF(N7&lt;56,1,IF(N7&lt;66,2,IF(N7&lt;76,3,4))))</f>
        <v>0</v>
      </c>
      <c r="Q7" s="61"/>
      <c r="R7" s="47"/>
      <c r="V7" s="53"/>
    </row>
    <row r="8" spans="1:22" ht="6" customHeight="1" x14ac:dyDescent="0.2">
      <c r="A8" s="47"/>
      <c r="B8" s="51"/>
      <c r="C8" s="51"/>
      <c r="D8" s="51"/>
      <c r="E8" s="51"/>
      <c r="F8" s="51"/>
      <c r="G8" s="51"/>
      <c r="H8" s="51"/>
      <c r="I8" s="51"/>
      <c r="J8" s="51"/>
      <c r="K8" s="47"/>
      <c r="L8" s="48"/>
      <c r="M8" s="58"/>
      <c r="N8" s="62"/>
      <c r="O8" s="48"/>
      <c r="P8" s="62"/>
      <c r="Q8" s="48"/>
      <c r="R8" s="47"/>
      <c r="V8" s="53"/>
    </row>
    <row r="9" spans="1:22" ht="12.75" customHeight="1" x14ac:dyDescent="0.2">
      <c r="A9" s="47"/>
      <c r="B9" s="51"/>
      <c r="C9" s="54" t="s">
        <v>26</v>
      </c>
      <c r="D9" s="51"/>
      <c r="E9" s="51"/>
      <c r="F9" s="51"/>
      <c r="G9" s="51"/>
      <c r="H9" s="55">
        <v>3</v>
      </c>
      <c r="I9" s="51"/>
      <c r="J9" s="51"/>
      <c r="K9" s="47"/>
      <c r="L9" s="48"/>
      <c r="M9" s="58" t="s">
        <v>27</v>
      </c>
      <c r="N9" s="59">
        <v>90</v>
      </c>
      <c r="O9" s="48"/>
      <c r="P9" s="60">
        <f>IF(N9&lt;40,4,IF(N9&lt;54,3,IF(N9&lt;70,2,IF(N9&lt;109,0,IF(N9&lt;139,2,IF(N9&lt;179,3,4))))))</f>
        <v>0</v>
      </c>
      <c r="Q9" s="61"/>
      <c r="R9" s="47"/>
      <c r="V9" s="53"/>
    </row>
    <row r="10" spans="1:22" ht="6" customHeight="1" x14ac:dyDescent="0.2">
      <c r="A10" s="47"/>
      <c r="B10" s="51"/>
      <c r="C10" s="51"/>
      <c r="D10" s="51"/>
      <c r="E10" s="51"/>
      <c r="F10" s="51"/>
      <c r="G10" s="51"/>
      <c r="H10" s="51"/>
      <c r="I10" s="51"/>
      <c r="J10" s="51"/>
      <c r="K10" s="47"/>
      <c r="L10" s="48"/>
      <c r="M10" s="58"/>
      <c r="N10" s="62"/>
      <c r="O10" s="48"/>
      <c r="P10" s="62"/>
      <c r="Q10" s="48"/>
      <c r="R10" s="47"/>
      <c r="V10" s="53"/>
    </row>
    <row r="11" spans="1:22" ht="12.75" customHeight="1" x14ac:dyDescent="0.2">
      <c r="A11" s="47"/>
      <c r="B11" s="51"/>
      <c r="C11" s="54" t="s">
        <v>28</v>
      </c>
      <c r="D11" s="51"/>
      <c r="E11" s="51"/>
      <c r="F11" s="51"/>
      <c r="G11" s="51"/>
      <c r="H11" s="55">
        <v>2</v>
      </c>
      <c r="I11" s="51"/>
      <c r="J11" s="51"/>
      <c r="K11" s="47"/>
      <c r="L11" s="48"/>
      <c r="M11" s="58" t="s">
        <v>29</v>
      </c>
      <c r="N11" s="59">
        <v>120</v>
      </c>
      <c r="O11" s="48"/>
      <c r="P11" s="60">
        <f>IF(N11&lt;55,4,IF(N11&lt;79,2,IF(N11&lt;149,0,IF(N11&lt;189,2,4))))</f>
        <v>0</v>
      </c>
      <c r="Q11" s="61"/>
      <c r="R11" s="47"/>
      <c r="V11" s="53"/>
    </row>
    <row r="12" spans="1:22" ht="6" customHeight="1" x14ac:dyDescent="0.2">
      <c r="A12" s="47"/>
      <c r="B12" s="51"/>
      <c r="C12" s="51"/>
      <c r="D12" s="51"/>
      <c r="E12" s="51"/>
      <c r="F12" s="51"/>
      <c r="G12" s="51"/>
      <c r="H12" s="51"/>
      <c r="I12" s="51"/>
      <c r="J12" s="51"/>
      <c r="K12" s="47"/>
      <c r="L12" s="48"/>
      <c r="M12" s="58"/>
      <c r="N12" s="62"/>
      <c r="O12" s="48"/>
      <c r="P12" s="62"/>
      <c r="Q12" s="48"/>
      <c r="R12" s="47"/>
      <c r="V12" s="53"/>
    </row>
    <row r="13" spans="1:22" ht="12.75" customHeight="1" x14ac:dyDescent="0.2">
      <c r="A13" s="47"/>
      <c r="B13" s="51"/>
      <c r="C13" s="54" t="s">
        <v>30</v>
      </c>
      <c r="D13" s="51"/>
      <c r="E13" s="51"/>
      <c r="F13" s="51"/>
      <c r="G13" s="51"/>
      <c r="H13" s="55">
        <v>1</v>
      </c>
      <c r="I13" s="51"/>
      <c r="J13" s="51"/>
      <c r="K13" s="47"/>
      <c r="L13" s="48"/>
      <c r="M13" s="58" t="s">
        <v>31</v>
      </c>
      <c r="N13" s="59">
        <v>36.6</v>
      </c>
      <c r="O13" s="48"/>
      <c r="P13" s="60">
        <f>IF(N13&lt;30,4,IF(N13&lt;32,3,IF(N13&lt;34,2,IF(N13&lt;36,1,IF(N13&lt;38.5,0,IF(N13&lt;39,1,IF(N13&lt;41,3,4)))))))</f>
        <v>0</v>
      </c>
      <c r="Q13" s="61"/>
      <c r="R13" s="47"/>
      <c r="V13" s="53"/>
    </row>
    <row r="14" spans="1:22" ht="6" customHeight="1" x14ac:dyDescent="0.2">
      <c r="A14" s="47"/>
      <c r="B14" s="51"/>
      <c r="C14" s="54"/>
      <c r="D14" s="54"/>
      <c r="E14" s="54"/>
      <c r="F14" s="51"/>
      <c r="G14" s="51"/>
      <c r="H14" s="51"/>
      <c r="I14" s="51"/>
      <c r="J14" s="51"/>
      <c r="K14" s="47"/>
      <c r="L14" s="48"/>
      <c r="M14" s="58"/>
      <c r="N14" s="62"/>
      <c r="O14" s="48"/>
      <c r="P14" s="62"/>
      <c r="Q14" s="48"/>
      <c r="R14" s="47"/>
      <c r="V14" s="53"/>
    </row>
    <row r="15" spans="1:22" ht="12.75" customHeight="1" x14ac:dyDescent="0.2">
      <c r="A15" s="47"/>
      <c r="B15" s="63"/>
      <c r="C15" s="64" t="s">
        <v>32</v>
      </c>
      <c r="D15" s="63"/>
      <c r="E15" s="63"/>
      <c r="F15" s="63"/>
      <c r="G15" s="63"/>
      <c r="H15" s="63"/>
      <c r="I15" s="63"/>
      <c r="J15" s="63"/>
      <c r="K15" s="47"/>
      <c r="L15" s="48"/>
      <c r="M15" s="58" t="s">
        <v>33</v>
      </c>
      <c r="N15" s="59">
        <v>16</v>
      </c>
      <c r="O15" s="48"/>
      <c r="P15" s="60">
        <f>IF(N15&lt;6,4,IF(N15&lt;10,2,IF(N15&lt;12,1,IF(N15&lt;25,0,IF(N15&lt;35,1,IF(N15&lt;50,3,4))))))</f>
        <v>0</v>
      </c>
      <c r="Q15" s="61"/>
      <c r="R15" s="47"/>
      <c r="V15" s="53"/>
    </row>
    <row r="16" spans="1:22" ht="6" customHeight="1" x14ac:dyDescent="0.2">
      <c r="A16" s="47"/>
      <c r="B16" s="63"/>
      <c r="C16" s="63"/>
      <c r="D16" s="63"/>
      <c r="E16" s="63"/>
      <c r="F16" s="63"/>
      <c r="G16" s="63"/>
      <c r="H16" s="63"/>
      <c r="I16" s="63"/>
      <c r="J16" s="63"/>
      <c r="K16" s="47"/>
      <c r="L16" s="48"/>
      <c r="M16" s="58"/>
      <c r="N16" s="62"/>
      <c r="O16" s="48"/>
      <c r="P16" s="62"/>
      <c r="Q16" s="48"/>
      <c r="R16" s="47"/>
      <c r="V16" s="53"/>
    </row>
    <row r="17" spans="1:22" ht="12.75" customHeight="1" x14ac:dyDescent="0.2">
      <c r="A17" s="47"/>
      <c r="B17" s="63"/>
      <c r="C17" s="65" t="s">
        <v>34</v>
      </c>
      <c r="D17" s="63"/>
      <c r="E17" s="63"/>
      <c r="F17" s="63"/>
      <c r="G17" s="63"/>
      <c r="H17" s="66">
        <v>6</v>
      </c>
      <c r="I17" s="56">
        <v>6</v>
      </c>
      <c r="J17" s="67"/>
      <c r="K17" s="47"/>
      <c r="L17" s="48"/>
      <c r="M17" s="58" t="s">
        <v>35</v>
      </c>
      <c r="N17" s="59" t="s">
        <v>36</v>
      </c>
      <c r="O17" s="48"/>
      <c r="P17" s="60">
        <f>IF(N17="да",3,0)</f>
        <v>0</v>
      </c>
      <c r="Q17" s="61"/>
      <c r="R17" s="47"/>
      <c r="V17" s="53"/>
    </row>
    <row r="18" spans="1:22" ht="6" customHeight="1" x14ac:dyDescent="0.2">
      <c r="A18" s="47"/>
      <c r="B18" s="63"/>
      <c r="C18" s="63"/>
      <c r="D18" s="63"/>
      <c r="E18" s="63"/>
      <c r="F18" s="63"/>
      <c r="G18" s="63"/>
      <c r="H18" s="63"/>
      <c r="I18" s="63"/>
      <c r="J18" s="63"/>
      <c r="K18" s="47"/>
      <c r="L18" s="48"/>
      <c r="M18" s="58"/>
      <c r="N18" s="62"/>
      <c r="O18" s="48"/>
      <c r="P18" s="62"/>
      <c r="Q18" s="48"/>
      <c r="R18" s="47"/>
      <c r="V18" s="53"/>
    </row>
    <row r="19" spans="1:22" ht="12.75" customHeight="1" x14ac:dyDescent="0.2">
      <c r="A19" s="47"/>
      <c r="B19" s="63"/>
      <c r="C19" s="65" t="s">
        <v>37</v>
      </c>
      <c r="D19" s="63"/>
      <c r="E19" s="63"/>
      <c r="F19" s="63"/>
      <c r="G19" s="63"/>
      <c r="H19" s="66">
        <v>5</v>
      </c>
      <c r="I19" s="63"/>
      <c r="J19" s="63"/>
      <c r="K19" s="47"/>
      <c r="L19" s="48"/>
      <c r="M19" s="58" t="s">
        <v>38</v>
      </c>
      <c r="N19" s="59">
        <v>2</v>
      </c>
      <c r="O19" s="48"/>
      <c r="P19" s="60">
        <f>IF(N19&lt;0.2,4,IF(N19&lt;0.5,3,IF(N19&lt;0.7,2,IF(N19&lt;3.5,0,IF(N19&lt;5,1,2)))))</f>
        <v>0</v>
      </c>
      <c r="Q19" s="61"/>
      <c r="R19" s="47"/>
      <c r="V19" s="53"/>
    </row>
    <row r="20" spans="1:22" ht="6" customHeight="1" x14ac:dyDescent="0.2">
      <c r="A20" s="47"/>
      <c r="B20" s="63"/>
      <c r="C20" s="63"/>
      <c r="D20" s="63"/>
      <c r="E20" s="63"/>
      <c r="F20" s="63"/>
      <c r="G20" s="63"/>
      <c r="H20" s="63"/>
      <c r="I20" s="63"/>
      <c r="J20" s="63"/>
      <c r="K20" s="47"/>
      <c r="L20" s="48"/>
      <c r="M20" s="58"/>
      <c r="N20" s="62"/>
      <c r="O20" s="48"/>
      <c r="P20" s="62"/>
      <c r="Q20" s="48"/>
      <c r="R20" s="47"/>
      <c r="V20" s="53"/>
    </row>
    <row r="21" spans="1:22" ht="12.75" customHeight="1" x14ac:dyDescent="0.2">
      <c r="A21" s="47"/>
      <c r="B21" s="63"/>
      <c r="C21" s="65" t="s">
        <v>39</v>
      </c>
      <c r="D21" s="63"/>
      <c r="E21" s="63"/>
      <c r="F21" s="63"/>
      <c r="G21" s="63"/>
      <c r="H21" s="66">
        <v>4</v>
      </c>
      <c r="I21" s="63"/>
      <c r="J21" s="63"/>
      <c r="K21" s="47"/>
      <c r="L21" s="48"/>
      <c r="M21" s="58" t="s">
        <v>40</v>
      </c>
      <c r="N21" s="59">
        <v>5</v>
      </c>
      <c r="O21" s="48"/>
      <c r="P21" s="60">
        <f>IF(N21&lt;3.5,1,IF(N21&lt;7.5,0,IF(N21&lt;29,1,IF(N21&lt;36,2,IF(N21&lt;55,3,4)))))</f>
        <v>0</v>
      </c>
      <c r="Q21" s="61"/>
      <c r="R21" s="47"/>
      <c r="V21" s="53"/>
    </row>
    <row r="22" spans="1:22" ht="6" customHeight="1" x14ac:dyDescent="0.2">
      <c r="A22" s="47"/>
      <c r="B22" s="63"/>
      <c r="C22" s="63"/>
      <c r="D22" s="63"/>
      <c r="E22" s="63"/>
      <c r="F22" s="63"/>
      <c r="G22" s="63"/>
      <c r="H22" s="63"/>
      <c r="I22" s="63"/>
      <c r="J22" s="63"/>
      <c r="K22" s="47"/>
      <c r="L22" s="48"/>
      <c r="M22" s="58"/>
      <c r="N22" s="62"/>
      <c r="O22" s="48"/>
      <c r="P22" s="62"/>
      <c r="Q22" s="48"/>
      <c r="R22" s="47"/>
      <c r="V22" s="53"/>
    </row>
    <row r="23" spans="1:22" ht="12.75" customHeight="1" x14ac:dyDescent="0.2">
      <c r="A23" s="47"/>
      <c r="B23" s="63"/>
      <c r="C23" s="65" t="s">
        <v>41</v>
      </c>
      <c r="D23" s="63"/>
      <c r="E23" s="63"/>
      <c r="F23" s="63"/>
      <c r="G23" s="63"/>
      <c r="H23" s="66">
        <v>3</v>
      </c>
      <c r="I23" s="63"/>
      <c r="J23" s="63"/>
      <c r="K23" s="47"/>
      <c r="L23" s="48"/>
      <c r="M23" s="58" t="s">
        <v>42</v>
      </c>
      <c r="N23" s="59">
        <v>9</v>
      </c>
      <c r="O23" s="48"/>
      <c r="P23" s="60">
        <f>IF(N23&lt;1,4,IF(N23&lt;3,2,IF(N23&lt;15,0,IF(N23&lt;20,1,IF(N23&lt;40,2,4)))))</f>
        <v>0</v>
      </c>
      <c r="Q23" s="61"/>
      <c r="R23" s="47"/>
      <c r="V23" s="53"/>
    </row>
    <row r="24" spans="1:22" ht="6" customHeight="1" x14ac:dyDescent="0.2">
      <c r="A24" s="47"/>
      <c r="B24" s="63"/>
      <c r="C24" s="63"/>
      <c r="D24" s="63"/>
      <c r="E24" s="63"/>
      <c r="F24" s="63"/>
      <c r="G24" s="63"/>
      <c r="H24" s="63"/>
      <c r="I24" s="63"/>
      <c r="J24" s="63"/>
      <c r="K24" s="47"/>
      <c r="L24" s="48"/>
      <c r="M24" s="58"/>
      <c r="N24" s="62"/>
      <c r="O24" s="48"/>
      <c r="P24" s="62"/>
      <c r="Q24" s="48"/>
      <c r="R24" s="47"/>
      <c r="V24" s="53"/>
    </row>
    <row r="25" spans="1:22" ht="12.75" customHeight="1" x14ac:dyDescent="0.2">
      <c r="A25" s="47"/>
      <c r="B25" s="63"/>
      <c r="C25" s="65" t="s">
        <v>43</v>
      </c>
      <c r="D25" s="63"/>
      <c r="E25" s="63"/>
      <c r="F25" s="63"/>
      <c r="G25" s="63"/>
      <c r="H25" s="66">
        <v>2</v>
      </c>
      <c r="I25" s="63"/>
      <c r="J25" s="63"/>
      <c r="K25" s="47"/>
      <c r="L25" s="48"/>
      <c r="M25" s="58" t="s">
        <v>44</v>
      </c>
      <c r="N25" s="59">
        <v>6</v>
      </c>
      <c r="O25" s="48"/>
      <c r="P25" s="60">
        <f>IF(N25&lt;1.6,4,IF(N25&lt;2.8,3,IF(N25&lt;3.9,2,IF(N25&lt;14,0,IF(N25&lt;27.8,1,IF(N25&lt;44.5,3,4))))))</f>
        <v>0</v>
      </c>
      <c r="Q25" s="61"/>
      <c r="R25" s="47"/>
      <c r="V25" s="53"/>
    </row>
    <row r="26" spans="1:22" ht="6" customHeight="1" x14ac:dyDescent="0.2">
      <c r="A26" s="47"/>
      <c r="B26" s="63"/>
      <c r="C26" s="63"/>
      <c r="D26" s="63"/>
      <c r="E26" s="63"/>
      <c r="F26" s="63"/>
      <c r="G26" s="63"/>
      <c r="H26" s="63"/>
      <c r="I26" s="63"/>
      <c r="J26" s="63"/>
      <c r="K26" s="47"/>
      <c r="L26" s="48"/>
      <c r="M26" s="58"/>
      <c r="N26" s="62"/>
      <c r="O26" s="48"/>
      <c r="P26" s="62"/>
      <c r="Q26" s="48"/>
      <c r="R26" s="47"/>
      <c r="V26" s="53"/>
    </row>
    <row r="27" spans="1:22" ht="12.75" customHeight="1" x14ac:dyDescent="0.2">
      <c r="A27" s="47"/>
      <c r="B27" s="63"/>
      <c r="C27" s="65" t="s">
        <v>45</v>
      </c>
      <c r="D27" s="63"/>
      <c r="E27" s="63"/>
      <c r="F27" s="63"/>
      <c r="G27" s="63"/>
      <c r="H27" s="66">
        <v>1</v>
      </c>
      <c r="I27" s="63"/>
      <c r="J27" s="63"/>
      <c r="K27" s="47"/>
      <c r="L27" s="48"/>
      <c r="M27" s="58" t="s">
        <v>46</v>
      </c>
      <c r="N27" s="59">
        <v>4</v>
      </c>
      <c r="O27" s="48"/>
      <c r="P27" s="60">
        <f>IF(N27&lt;2.5,4,IF(N27&lt;3,2,IF(N27&lt;3.5,1,IF(N27&lt;5.5,0,IF(N27&lt;6,1,IF(N27&lt;7,3,4))))))</f>
        <v>0</v>
      </c>
      <c r="Q27" s="61"/>
      <c r="R27" s="47"/>
      <c r="V27" s="53"/>
    </row>
    <row r="28" spans="1:22" ht="6" customHeight="1" x14ac:dyDescent="0.2">
      <c r="A28" s="47"/>
      <c r="B28" s="63"/>
      <c r="C28" s="63"/>
      <c r="D28" s="63"/>
      <c r="E28" s="63"/>
      <c r="F28" s="63"/>
      <c r="G28" s="63"/>
      <c r="H28" s="63"/>
      <c r="I28" s="63"/>
      <c r="J28" s="63"/>
      <c r="K28" s="47"/>
      <c r="L28" s="48"/>
      <c r="M28" s="58"/>
      <c r="N28" s="62"/>
      <c r="O28" s="48"/>
      <c r="P28" s="62"/>
      <c r="Q28" s="48"/>
      <c r="R28" s="47"/>
      <c r="V28" s="53"/>
    </row>
    <row r="29" spans="1:22" ht="12.75" customHeight="1" x14ac:dyDescent="0.2">
      <c r="A29" s="47"/>
      <c r="B29" s="68"/>
      <c r="C29" s="69" t="s">
        <v>47</v>
      </c>
      <c r="D29" s="69"/>
      <c r="E29" s="68"/>
      <c r="F29" s="68"/>
      <c r="G29" s="68"/>
      <c r="H29" s="68"/>
      <c r="I29" s="68"/>
      <c r="J29" s="68"/>
      <c r="K29" s="47"/>
      <c r="L29" s="48"/>
      <c r="M29" s="58" t="s">
        <v>48</v>
      </c>
      <c r="N29" s="59">
        <v>140</v>
      </c>
      <c r="O29" s="48"/>
      <c r="P29" s="60">
        <f>IF(N29&lt;110,4,IF(N29&lt;120,3,IF(N29&lt;130,2,IF(N29&lt;151,0,IF(N29&lt;156,1,IF(N29&lt;161,2,IF(N29&lt;180,3,4)))))))</f>
        <v>0</v>
      </c>
      <c r="Q29" s="61"/>
      <c r="R29" s="47"/>
      <c r="V29" s="53"/>
    </row>
    <row r="30" spans="1:22" ht="6" customHeight="1" x14ac:dyDescent="0.2">
      <c r="A30" s="47"/>
      <c r="B30" s="68"/>
      <c r="C30" s="68"/>
      <c r="D30" s="68"/>
      <c r="E30" s="68"/>
      <c r="F30" s="68"/>
      <c r="G30" s="68"/>
      <c r="H30" s="68"/>
      <c r="I30" s="68"/>
      <c r="J30" s="68"/>
      <c r="K30" s="47"/>
      <c r="L30" s="48"/>
      <c r="M30" s="58"/>
      <c r="N30" s="62"/>
      <c r="O30" s="48"/>
      <c r="P30" s="62"/>
      <c r="Q30" s="48"/>
      <c r="R30" s="47"/>
      <c r="V30" s="53"/>
    </row>
    <row r="31" spans="1:22" ht="12.75" customHeight="1" x14ac:dyDescent="0.2">
      <c r="A31" s="47"/>
      <c r="B31" s="68"/>
      <c r="C31" s="70" t="s">
        <v>49</v>
      </c>
      <c r="D31" s="68"/>
      <c r="E31" s="68"/>
      <c r="F31" s="68"/>
      <c r="G31" s="68"/>
      <c r="H31" s="71">
        <v>5</v>
      </c>
      <c r="I31" s="56">
        <v>5</v>
      </c>
      <c r="J31" s="72"/>
      <c r="K31" s="47"/>
      <c r="L31" s="48"/>
      <c r="M31" s="58" t="s">
        <v>50</v>
      </c>
      <c r="N31" s="59">
        <v>20</v>
      </c>
      <c r="O31" s="48"/>
      <c r="P31" s="60">
        <f>IF(N31&lt;5,4,IF(N31&lt;10,3,IF(N31&lt;20,1,IF(N31&lt;30,0,IF(N31&lt;40,1,3)))))</f>
        <v>0</v>
      </c>
      <c r="Q31" s="61"/>
      <c r="R31" s="47"/>
      <c r="V31" s="53"/>
    </row>
    <row r="32" spans="1:22" ht="6" customHeight="1" x14ac:dyDescent="0.2">
      <c r="A32" s="47"/>
      <c r="B32" s="68"/>
      <c r="C32" s="68"/>
      <c r="D32" s="68"/>
      <c r="E32" s="68"/>
      <c r="F32" s="68"/>
      <c r="G32" s="68"/>
      <c r="H32" s="68"/>
      <c r="I32" s="68"/>
      <c r="J32" s="68"/>
      <c r="K32" s="47"/>
      <c r="L32" s="48"/>
      <c r="M32" s="58"/>
      <c r="N32" s="62"/>
      <c r="O32" s="48"/>
      <c r="P32" s="62"/>
      <c r="Q32" s="48"/>
      <c r="R32" s="47"/>
    </row>
    <row r="33" spans="1:18" ht="12.75" customHeight="1" x14ac:dyDescent="0.2">
      <c r="A33" s="47"/>
      <c r="B33" s="68"/>
      <c r="C33" s="70" t="s">
        <v>51</v>
      </c>
      <c r="D33" s="68"/>
      <c r="E33" s="68"/>
      <c r="F33" s="68"/>
      <c r="G33" s="68"/>
      <c r="H33" s="71">
        <v>4</v>
      </c>
      <c r="I33" s="68"/>
      <c r="J33" s="68"/>
      <c r="K33" s="47"/>
      <c r="L33" s="48"/>
      <c r="M33" s="58" t="s">
        <v>52</v>
      </c>
      <c r="N33" s="59">
        <v>15</v>
      </c>
      <c r="O33" s="48"/>
      <c r="P33" s="60">
        <f>IF(N33&lt;4,4,IF(N33&lt;7,3,IF(N33&lt;10,2,IF(N33&lt;13,1,0))))</f>
        <v>0</v>
      </c>
      <c r="Q33" s="61"/>
      <c r="R33" s="47"/>
    </row>
    <row r="34" spans="1:18" ht="6" customHeight="1" x14ac:dyDescent="0.2">
      <c r="A34" s="47"/>
      <c r="B34" s="68"/>
      <c r="C34" s="68"/>
      <c r="D34" s="68"/>
      <c r="E34" s="68"/>
      <c r="F34" s="68"/>
      <c r="G34" s="68"/>
      <c r="H34" s="68"/>
      <c r="I34" s="68"/>
      <c r="J34" s="68"/>
      <c r="K34" s="47"/>
      <c r="L34" s="48"/>
      <c r="M34" s="48"/>
      <c r="N34" s="48"/>
      <c r="O34" s="48"/>
      <c r="P34" s="48"/>
      <c r="Q34" s="48"/>
      <c r="R34" s="47"/>
    </row>
    <row r="35" spans="1:18" x14ac:dyDescent="0.2">
      <c r="A35" s="47"/>
      <c r="B35" s="68"/>
      <c r="C35" s="70" t="s">
        <v>53</v>
      </c>
      <c r="D35" s="68"/>
      <c r="E35" s="68"/>
      <c r="F35" s="68"/>
      <c r="G35" s="68"/>
      <c r="H35" s="71">
        <v>3</v>
      </c>
      <c r="I35" s="68"/>
      <c r="J35" s="68"/>
      <c r="K35" s="47"/>
      <c r="L35" s="48"/>
      <c r="M35" s="48"/>
      <c r="N35" s="48"/>
      <c r="O35" s="48"/>
      <c r="P35" s="48"/>
      <c r="Q35" s="48"/>
      <c r="R35" s="47"/>
    </row>
    <row r="36" spans="1:18" ht="6" customHeight="1" x14ac:dyDescent="0.2">
      <c r="A36" s="47"/>
      <c r="B36" s="68"/>
      <c r="C36" s="68"/>
      <c r="D36" s="68"/>
      <c r="E36" s="68"/>
      <c r="F36" s="68"/>
      <c r="G36" s="68"/>
      <c r="H36" s="68"/>
      <c r="I36" s="68"/>
      <c r="J36" s="68"/>
      <c r="K36" s="47"/>
      <c r="L36" s="48"/>
      <c r="M36" s="48"/>
      <c r="N36" s="48"/>
      <c r="O36" s="48"/>
      <c r="P36" s="48"/>
      <c r="Q36" s="48"/>
      <c r="R36" s="47"/>
    </row>
    <row r="37" spans="1:18" x14ac:dyDescent="0.2">
      <c r="A37" s="47"/>
      <c r="B37" s="68"/>
      <c r="C37" s="70" t="s">
        <v>54</v>
      </c>
      <c r="D37" s="68"/>
      <c r="E37" s="68"/>
      <c r="F37" s="68"/>
      <c r="G37" s="68"/>
      <c r="H37" s="71">
        <v>2</v>
      </c>
      <c r="I37" s="68"/>
      <c r="J37" s="68"/>
      <c r="K37" s="47"/>
      <c r="L37" s="48"/>
      <c r="M37" s="48" t="s">
        <v>55</v>
      </c>
      <c r="N37" s="48"/>
      <c r="O37" s="48"/>
      <c r="P37" s="73">
        <f>SUM(P7:P33)</f>
        <v>0</v>
      </c>
      <c r="Q37" s="74"/>
      <c r="R37" s="47"/>
    </row>
    <row r="38" spans="1:18" ht="6" customHeight="1" x14ac:dyDescent="0.2">
      <c r="A38" s="47"/>
      <c r="B38" s="68"/>
      <c r="C38" s="68"/>
      <c r="D38" s="68"/>
      <c r="E38" s="68"/>
      <c r="F38" s="68"/>
      <c r="G38" s="68"/>
      <c r="H38" s="68"/>
      <c r="I38" s="68"/>
      <c r="J38" s="68"/>
      <c r="K38" s="47"/>
      <c r="L38" s="48"/>
      <c r="M38" s="48"/>
      <c r="N38" s="48"/>
      <c r="O38" s="48"/>
      <c r="P38" s="48"/>
      <c r="Q38" s="48"/>
      <c r="R38" s="47"/>
    </row>
    <row r="39" spans="1:18" x14ac:dyDescent="0.2">
      <c r="A39" s="47"/>
      <c r="B39" s="68"/>
      <c r="C39" s="70" t="s">
        <v>56</v>
      </c>
      <c r="D39" s="68"/>
      <c r="E39" s="68"/>
      <c r="F39" s="68"/>
      <c r="G39" s="68"/>
      <c r="H39" s="71">
        <v>1</v>
      </c>
      <c r="I39" s="68"/>
      <c r="J39" s="68"/>
      <c r="K39" s="47"/>
      <c r="L39" s="48"/>
      <c r="M39" s="48"/>
      <c r="N39" s="48"/>
      <c r="O39" s="48"/>
      <c r="P39" s="48"/>
      <c r="Q39" s="48"/>
      <c r="R39" s="47"/>
    </row>
    <row r="40" spans="1:18" ht="6" customHeight="1" x14ac:dyDescent="0.2">
      <c r="A40" s="47"/>
      <c r="B40" s="68"/>
      <c r="C40" s="68"/>
      <c r="D40" s="68"/>
      <c r="E40" s="68"/>
      <c r="F40" s="68"/>
      <c r="G40" s="68"/>
      <c r="H40" s="68"/>
      <c r="I40" s="68"/>
      <c r="J40" s="68"/>
      <c r="K40" s="47"/>
      <c r="L40" s="48"/>
      <c r="M40" s="48"/>
      <c r="N40" s="48"/>
      <c r="O40" s="48"/>
      <c r="P40" s="48"/>
      <c r="Q40" s="48"/>
      <c r="R40" s="47"/>
    </row>
    <row r="41" spans="1:18" ht="6" customHeight="1" x14ac:dyDescent="0.2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7"/>
      <c r="L41" s="48"/>
      <c r="M41" s="48"/>
      <c r="N41" s="48"/>
      <c r="O41" s="48"/>
      <c r="P41" s="48"/>
      <c r="Q41" s="48"/>
      <c r="R41" s="47"/>
    </row>
    <row r="42" spans="1:18" x14ac:dyDescent="0.2">
      <c r="A42" s="47"/>
      <c r="B42" s="48"/>
      <c r="C42" s="75" t="s">
        <v>57</v>
      </c>
      <c r="D42" s="76"/>
      <c r="E42" s="76"/>
      <c r="F42" s="76"/>
      <c r="G42" s="76" t="str">
        <f>I7&amp;" + "&amp;I17&amp;" + "&amp;I31</f>
        <v>4 + 6 + 5</v>
      </c>
      <c r="H42" s="77" t="s">
        <v>7</v>
      </c>
      <c r="I42" s="78">
        <f>I7+I17+I31</f>
        <v>15</v>
      </c>
      <c r="J42" s="48"/>
      <c r="K42" s="47"/>
      <c r="L42" s="48"/>
      <c r="M42" s="48" t="s">
        <v>58</v>
      </c>
      <c r="N42" s="48">
        <f>IF(P37&lt;5,0,IF(P37&lt;10,0.9,IF(P37&lt;15,3.1,IF(P37&lt;20,10.3,IF(P37&lt;25,13,IF(P37&lt;30,66.7,99.9))))))</f>
        <v>0</v>
      </c>
      <c r="O42" s="48"/>
      <c r="P42" s="48"/>
      <c r="Q42" s="48"/>
      <c r="R42" s="47"/>
    </row>
    <row r="43" spans="1:18" x14ac:dyDescent="0.2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7"/>
      <c r="L43" s="48"/>
      <c r="M43" s="48"/>
      <c r="N43" s="48"/>
      <c r="O43" s="48"/>
      <c r="P43" s="48"/>
      <c r="Q43" s="48"/>
      <c r="R43" s="47"/>
    </row>
    <row r="44" spans="1:18" x14ac:dyDescent="0.2">
      <c r="A44" s="47"/>
      <c r="B44" s="48"/>
      <c r="C44" s="79" t="s">
        <v>59</v>
      </c>
      <c r="D44" s="79"/>
      <c r="E44" s="50" t="str">
        <f>IF(I42&lt;3,"Введены неверные данные",IF(I42&lt;=4,"Запредельная кома или смерть мозга",IF(I42&lt;9,"Глубокая кома",IF(I42&lt;12,"Сопор",IF(I42&lt;15,"Оглушение(прекома)",IF(I42&gt;15,"Введены неверные данные","Нарушений сознания нет"))))))</f>
        <v>Нарушений сознания нет</v>
      </c>
      <c r="F44" s="80"/>
      <c r="G44" s="80"/>
      <c r="H44" s="48"/>
      <c r="I44" s="48"/>
      <c r="J44" s="48"/>
      <c r="K44" s="47"/>
      <c r="L44" s="48"/>
      <c r="M44" s="48" t="s">
        <v>60</v>
      </c>
      <c r="N44" s="48">
        <f>IF(P37&lt;5,6.8,IF(P37&lt;10,8.3,IF(P37&lt;15,16.8,IF(P37&lt;20,18.1,IF(P37&lt;25,61,IF(P37&lt;30,88.9,77.8))))))</f>
        <v>6.8</v>
      </c>
      <c r="O44" s="48"/>
      <c r="P44" s="48"/>
      <c r="Q44" s="48"/>
      <c r="R44" s="47"/>
    </row>
    <row r="45" spans="1:18" ht="6" customHeight="1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7"/>
      <c r="L45" s="48"/>
      <c r="M45" s="48"/>
      <c r="N45" s="48"/>
      <c r="O45" s="48"/>
      <c r="P45" s="48"/>
      <c r="Q45" s="48"/>
      <c r="R45" s="47"/>
    </row>
    <row r="46" spans="1:18" x14ac:dyDescent="0.2">
      <c r="A46" s="47"/>
      <c r="B46" s="81" t="s">
        <v>18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2">
        <v>39392</v>
      </c>
      <c r="Q46" s="2"/>
      <c r="R46" s="47"/>
    </row>
  </sheetData>
  <sheetProtection password="8FE9" sheet="1" objects="1" scenarios="1" selectLockedCells="1"/>
  <mergeCells count="1">
    <mergeCell ref="P46:Q46"/>
  </mergeCells>
  <pageMargins left="0.75" right="0.75" top="1" bottom="1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zoomScaleNormal="100" workbookViewId="0">
      <selection activeCell="F8" sqref="F8"/>
    </sheetView>
  </sheetViews>
  <sheetFormatPr defaultRowHeight="12.75" x14ac:dyDescent="0.2"/>
  <cols>
    <col min="1" max="2" width="2.7109375" style="82" customWidth="1"/>
    <col min="3" max="3" width="2.140625" style="82" customWidth="1"/>
    <col min="4" max="9" width="10.7109375" style="82" customWidth="1"/>
    <col min="10" max="11" width="2.7109375" style="82" customWidth="1"/>
    <col min="12" max="12" width="162.28515625" style="82" customWidth="1"/>
    <col min="13" max="13" width="9.140625" style="82" customWidth="1"/>
    <col min="14" max="14" width="3" style="82" customWidth="1"/>
    <col min="15" max="26" width="0.85546875" style="82" customWidth="1"/>
    <col min="27" max="1025" width="9.140625" style="82" customWidth="1"/>
  </cols>
  <sheetData>
    <row r="1" spans="1:26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26" ht="20.100000000000001" customHeight="1" x14ac:dyDescent="0.2">
      <c r="A2" s="83"/>
      <c r="B2" s="85"/>
      <c r="C2" s="86" t="s">
        <v>61</v>
      </c>
      <c r="D2" s="85"/>
      <c r="E2" s="85"/>
      <c r="F2" s="85"/>
      <c r="G2" s="85"/>
      <c r="H2" s="85"/>
      <c r="I2" s="85"/>
      <c r="J2" s="85"/>
      <c r="K2" s="83"/>
      <c r="L2" s="84"/>
    </row>
    <row r="3" spans="1:26" ht="20.100000000000001" customHeight="1" x14ac:dyDescent="0.2">
      <c r="A3" s="83"/>
      <c r="B3" s="85"/>
      <c r="C3" s="85"/>
      <c r="D3" s="85"/>
      <c r="E3" s="85"/>
      <c r="F3" s="85"/>
      <c r="G3" s="85"/>
      <c r="H3" s="87" t="s">
        <v>62</v>
      </c>
      <c r="I3" s="85"/>
      <c r="J3" s="85"/>
      <c r="K3" s="83"/>
      <c r="L3" s="84"/>
    </row>
    <row r="4" spans="1:26" s="95" customFormat="1" ht="20.100000000000001" customHeight="1" x14ac:dyDescent="0.2">
      <c r="A4" s="83"/>
      <c r="B4" s="85"/>
      <c r="C4" s="88"/>
      <c r="D4" s="89" t="s">
        <v>63</v>
      </c>
      <c r="E4" s="88"/>
      <c r="F4" s="90">
        <v>7.43</v>
      </c>
      <c r="G4" s="91" t="str">
        <f>IF(F4&lt;7.36,"▼",IF(F4&gt;7.44,"▲"," "))</f>
        <v xml:space="preserve"> </v>
      </c>
      <c r="H4" s="92" t="s">
        <v>64</v>
      </c>
      <c r="I4" s="93"/>
      <c r="J4" s="85"/>
      <c r="K4" s="83"/>
      <c r="L4" s="94"/>
    </row>
    <row r="5" spans="1:26" x14ac:dyDescent="0.2">
      <c r="A5" s="83"/>
      <c r="B5" s="85"/>
      <c r="C5" s="85"/>
      <c r="D5" s="96"/>
      <c r="E5" s="96"/>
      <c r="F5" s="85"/>
      <c r="G5" s="85"/>
      <c r="H5" s="97"/>
      <c r="I5" s="85"/>
      <c r="J5" s="85"/>
      <c r="K5" s="83"/>
      <c r="L5" s="84"/>
    </row>
    <row r="6" spans="1:26" ht="20.100000000000001" customHeight="1" x14ac:dyDescent="0.2">
      <c r="A6" s="83"/>
      <c r="B6" s="85"/>
      <c r="C6" s="88"/>
      <c r="D6" s="89" t="s">
        <v>65</v>
      </c>
      <c r="E6" s="88"/>
      <c r="F6" s="98">
        <v>39.799999999999997</v>
      </c>
      <c r="G6" s="91" t="str">
        <f>IF(F6&lt;36,"▼",IF(F6&gt;44,"▲"," "))</f>
        <v xml:space="preserve"> </v>
      </c>
      <c r="H6" s="92" t="s">
        <v>66</v>
      </c>
      <c r="I6" s="92" t="s">
        <v>67</v>
      </c>
      <c r="J6" s="85"/>
      <c r="K6" s="83"/>
      <c r="L6" s="84"/>
    </row>
    <row r="7" spans="1:26" x14ac:dyDescent="0.2">
      <c r="A7" s="83"/>
      <c r="B7" s="85"/>
      <c r="C7" s="85"/>
      <c r="D7" s="96"/>
      <c r="E7" s="96"/>
      <c r="F7" s="85"/>
      <c r="G7" s="85"/>
      <c r="H7" s="97"/>
      <c r="I7" s="85"/>
      <c r="J7" s="85"/>
      <c r="K7" s="83"/>
      <c r="L7" s="84"/>
      <c r="O7" s="99" t="s">
        <v>68</v>
      </c>
      <c r="P7" s="100">
        <f>IF(F4&lt;7.36,-10,IF(F4&gt;7.44,10,0))</f>
        <v>0</v>
      </c>
      <c r="R7" s="99" t="s">
        <v>69</v>
      </c>
      <c r="S7" s="100">
        <f>IF(F6&lt;36,-1,IF(F6&gt;44,1,0))</f>
        <v>0</v>
      </c>
      <c r="U7" s="99" t="s">
        <v>70</v>
      </c>
      <c r="V7" s="100">
        <f>P7+S7</f>
        <v>0</v>
      </c>
      <c r="X7" s="99" t="s">
        <v>71</v>
      </c>
      <c r="Y7" s="100" t="str">
        <f>IF(V7=11,1,IF(V7=10,"Хронический метаболический алкалоз",IF(V7=9,2,IF(V7=-9,3,IF(V7=-10,4,IF(V7=-11,4," "))))))</f>
        <v xml:space="preserve"> </v>
      </c>
    </row>
    <row r="8" spans="1:26" ht="20.100000000000001" customHeight="1" x14ac:dyDescent="0.2">
      <c r="A8" s="83"/>
      <c r="B8" s="85"/>
      <c r="C8" s="88"/>
      <c r="D8" s="89" t="s">
        <v>72</v>
      </c>
      <c r="E8" s="88"/>
      <c r="F8" s="98">
        <v>26.1</v>
      </c>
      <c r="G8" s="91" t="str">
        <f>IF(F8&lt;22,"▼",IF(F8&gt;25,"▲"," "))</f>
        <v>▲</v>
      </c>
      <c r="H8" s="92" t="s">
        <v>73</v>
      </c>
      <c r="I8" s="92" t="s">
        <v>74</v>
      </c>
      <c r="J8" s="85"/>
      <c r="K8" s="83"/>
      <c r="L8" s="84"/>
    </row>
    <row r="9" spans="1:26" x14ac:dyDescent="0.2">
      <c r="A9" s="83"/>
      <c r="B9" s="85"/>
      <c r="C9" s="85"/>
      <c r="D9" s="85"/>
      <c r="E9" s="85"/>
      <c r="F9" s="85"/>
      <c r="G9" s="85"/>
      <c r="H9" s="97"/>
      <c r="I9" s="85"/>
      <c r="J9" s="85"/>
      <c r="K9" s="83"/>
      <c r="L9" s="84"/>
      <c r="O9" s="93">
        <v>1</v>
      </c>
      <c r="Q9" s="83" t="s">
        <v>75</v>
      </c>
      <c r="R9" s="83">
        <f>0.7*F8+20</f>
        <v>38.269999999999996</v>
      </c>
      <c r="S9" s="82">
        <f>R9-1.5</f>
        <v>36.769999999999996</v>
      </c>
      <c r="T9" s="82">
        <f>R9+1.5</f>
        <v>39.769999999999996</v>
      </c>
      <c r="V9" s="93" t="str">
        <f>IF(F6&gt;T9,"сопутствующий  респираторный  ацидоз",IF(F6&lt;S9,"сопутствующий  респираторный  алкалоз","компенсированный  метаболический  алкалоз"))</f>
        <v>сопутствующий  респираторный  ацидоз</v>
      </c>
      <c r="W9" s="93"/>
      <c r="X9" s="93"/>
      <c r="Y9" s="93"/>
      <c r="Z9" s="93"/>
    </row>
    <row r="10" spans="1:26" ht="20.100000000000001" customHeight="1" x14ac:dyDescent="0.2">
      <c r="A10" s="101">
        <f>V7</f>
        <v>0</v>
      </c>
      <c r="B10" s="85"/>
      <c r="C10" s="102"/>
      <c r="D10" s="102" t="str">
        <f>IF(D12="Показатели КОС в пределах нормы"," ","Первичное  нарушение:")</f>
        <v xml:space="preserve"> </v>
      </c>
      <c r="E10" s="103"/>
      <c r="F10" s="103"/>
      <c r="G10" s="103"/>
      <c r="H10" s="103"/>
      <c r="I10" s="103"/>
      <c r="J10" s="85"/>
      <c r="K10" s="83"/>
      <c r="L10" s="84"/>
    </row>
    <row r="11" spans="1:26" ht="20.100000000000001" customHeight="1" x14ac:dyDescent="0.2">
      <c r="A11" s="83"/>
      <c r="B11" s="85"/>
      <c r="C11" s="104"/>
      <c r="D11" s="104" t="str">
        <f>IF(ABS(V7)=9,"респираторный",IF(ABS(V7/10)&gt;0.9,"метаболический",IF(ABS(V7)=1,"смешанный"," ")))</f>
        <v xml:space="preserve"> </v>
      </c>
      <c r="E11" s="103"/>
      <c r="F11" s="103"/>
      <c r="G11" s="103"/>
      <c r="H11" s="103"/>
      <c r="I11" s="103"/>
      <c r="J11" s="85"/>
      <c r="K11" s="83"/>
      <c r="L11" s="84"/>
      <c r="O11" s="105">
        <v>2</v>
      </c>
      <c r="Q11" s="83" t="s">
        <v>76</v>
      </c>
      <c r="R11" s="83">
        <f>(F4-7.44)/(36-F6)*100</f>
        <v>0.26315789473686008</v>
      </c>
      <c r="V11" s="105" t="str">
        <f>IF(R11&lt;0.2,"сопутствующий  метаболический  ацидоз",IF(R11&lt;0.8,"частично   компенсированный  респираторный  алкалоз",IF(R11=0.8,"острый  респираторный  алкалоз",IF(R11&gt;0.8,"сопутствующий  метаболический  алкалоз"," "))))</f>
        <v>частично   компенсированный  респираторный  алкалоз</v>
      </c>
      <c r="W11" s="105"/>
      <c r="X11" s="105"/>
      <c r="Y11" s="105"/>
      <c r="Z11" s="105"/>
    </row>
    <row r="12" spans="1:26" ht="20.100000000000001" customHeight="1" x14ac:dyDescent="0.2">
      <c r="A12" s="83"/>
      <c r="B12" s="85"/>
      <c r="C12" s="104"/>
      <c r="D12" s="106" t="str">
        <f>IF(F4&lt;7.36,"ацидоз",IF(F4&gt;7.44,"алкалоз",IF(F6&gt;44,"респираторный ацидоз и метаболический алкалоз",IF(F6&lt;36,"дыхательный алкалоз и метаболический ацидоз","Показатели КОС в пределах нормы"))))</f>
        <v>Показатели КОС в пределах нормы</v>
      </c>
      <c r="E12" s="103"/>
      <c r="F12" s="103"/>
      <c r="G12" s="103"/>
      <c r="H12" s="103"/>
      <c r="I12" s="103"/>
      <c r="J12" s="85"/>
      <c r="K12" s="83"/>
      <c r="L12" s="84"/>
    </row>
    <row r="13" spans="1:26" ht="12.75" customHeight="1" x14ac:dyDescent="0.2">
      <c r="A13" s="83"/>
      <c r="B13" s="85"/>
      <c r="C13" s="85"/>
      <c r="D13" s="107"/>
      <c r="E13" s="85"/>
      <c r="F13" s="85"/>
      <c r="G13" s="85"/>
      <c r="H13" s="85"/>
      <c r="I13" s="85"/>
      <c r="J13" s="85"/>
      <c r="K13" s="83"/>
      <c r="L13" s="84"/>
      <c r="O13" s="108">
        <v>3</v>
      </c>
      <c r="Q13" s="83" t="s">
        <v>76</v>
      </c>
      <c r="R13" s="109">
        <f>(7.36-F4)/(F6-44)*100</f>
        <v>1.666666666666651</v>
      </c>
      <c r="V13" s="108" t="str">
        <f>IF(R13&lt;0.3,"сопутствующий  метаболический  алкалоз",IF(R13&lt;0.8,"частично  компенсированный  респираторный  ацидоз",IF(R13=0.8,"острый  респираторный  ацидоз",IF(R13&gt;0.8,"сопутствующий  метаболический  ацидоз"," "))))</f>
        <v>сопутствующий  метаболический  ацидоз</v>
      </c>
      <c r="W13" s="108"/>
      <c r="X13" s="108"/>
      <c r="Y13" s="108"/>
      <c r="Z13" s="108"/>
    </row>
    <row r="14" spans="1:26" ht="20.100000000000001" customHeight="1" x14ac:dyDescent="0.2">
      <c r="A14" s="83"/>
      <c r="B14" s="85"/>
      <c r="C14" s="102"/>
      <c r="D14" s="102" t="str">
        <f>IF(D12="Показатели КОС в пределах нормы"," ","Вторичное  нарушение:")</f>
        <v xml:space="preserve"> </v>
      </c>
      <c r="E14" s="103"/>
      <c r="F14" s="103"/>
      <c r="G14" s="103"/>
      <c r="H14" s="103"/>
      <c r="I14" s="103"/>
      <c r="J14" s="85"/>
      <c r="K14" s="83"/>
      <c r="L14" s="84"/>
    </row>
    <row r="15" spans="1:26" ht="20.100000000000001" customHeight="1" x14ac:dyDescent="0.2">
      <c r="A15" s="83"/>
      <c r="B15" s="85"/>
      <c r="C15" s="104"/>
      <c r="D15" s="104" t="str">
        <f>IF(V7=11,V9,IF(V7=10,"хронический  метаболический  алкалоз",IF(V7=9,V11,IF(V7=-9,V13,IF(V7=-10,V15,IF(V7=-11,V15," "))))))</f>
        <v xml:space="preserve"> </v>
      </c>
      <c r="E15" s="103"/>
      <c r="F15" s="103"/>
      <c r="G15" s="103"/>
      <c r="H15" s="103"/>
      <c r="I15" s="103"/>
      <c r="J15" s="85"/>
      <c r="K15" s="83"/>
      <c r="L15" s="84"/>
      <c r="O15" s="110">
        <v>4</v>
      </c>
      <c r="Q15" s="83" t="s">
        <v>75</v>
      </c>
      <c r="R15" s="83">
        <f>1.5*F8+8</f>
        <v>47.150000000000006</v>
      </c>
      <c r="S15" s="82">
        <f>R15-2</f>
        <v>45.150000000000006</v>
      </c>
      <c r="T15" s="82">
        <f>R15+2</f>
        <v>49.150000000000006</v>
      </c>
      <c r="V15" s="110" t="str">
        <f>IF(F6&gt;T15,"сопутствующий  респираторный  ацидоз",IF(F6&lt;S15,"сопутствующий  респираторный  ацидоз","компенсированный  метаболический  алкалоз"))</f>
        <v>сопутствующий  респираторный  ацидоз</v>
      </c>
      <c r="W15" s="110"/>
      <c r="X15" s="110"/>
      <c r="Y15" s="110"/>
      <c r="Z15" s="110"/>
    </row>
    <row r="16" spans="1:26" ht="20.100000000000001" customHeight="1" x14ac:dyDescent="0.2">
      <c r="A16" s="111" t="str">
        <f>Y7</f>
        <v xml:space="preserve"> </v>
      </c>
      <c r="B16" s="85"/>
      <c r="C16" s="104"/>
      <c r="D16" s="104"/>
      <c r="E16" s="103"/>
      <c r="F16" s="103"/>
      <c r="G16" s="103"/>
      <c r="H16" s="103"/>
      <c r="I16" s="103"/>
      <c r="J16" s="85"/>
      <c r="K16" s="83"/>
      <c r="L16" s="84"/>
    </row>
    <row r="17" spans="1:12" ht="12.75" customHeight="1" x14ac:dyDescent="0.2">
      <c r="A17" s="83"/>
      <c r="B17" s="85"/>
      <c r="C17" s="85"/>
      <c r="D17" s="85"/>
      <c r="E17" s="85"/>
      <c r="F17" s="85"/>
      <c r="G17" s="85"/>
      <c r="H17" s="85"/>
      <c r="I17" s="85"/>
      <c r="J17" s="85"/>
      <c r="K17" s="83"/>
      <c r="L17" s="84"/>
    </row>
    <row r="18" spans="1:12" ht="12.75" customHeight="1" x14ac:dyDescent="0.2">
      <c r="A18" s="83"/>
      <c r="B18" s="112" t="s">
        <v>18</v>
      </c>
      <c r="C18" s="113"/>
      <c r="D18" s="8"/>
      <c r="E18" s="83"/>
      <c r="F18" s="83"/>
      <c r="G18" s="83"/>
      <c r="H18" s="83"/>
      <c r="I18" s="1">
        <v>38802</v>
      </c>
      <c r="J18" s="1"/>
      <c r="K18" s="83"/>
      <c r="L18" s="84"/>
    </row>
    <row r="19" spans="1:12" ht="12.75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2.7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2">
      <c r="L23" s="84"/>
    </row>
    <row r="24" spans="1:12" x14ac:dyDescent="0.2">
      <c r="L24" s="84"/>
    </row>
  </sheetData>
  <sheetProtection password="8FE9" sheet="1" objects="1" scenarios="1" selectLockedCells="1"/>
  <mergeCells count="1">
    <mergeCell ref="I18:J18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Тоники</vt:lpstr>
      <vt:lpstr>SAPS</vt:lpstr>
      <vt:lpstr>КЩС</vt:lpstr>
    </vt:vector>
  </TitlesOfParts>
  <Company>п.ц.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шрек</dc:creator>
  <dc:description/>
  <cp:lastModifiedBy>ASUS</cp:lastModifiedBy>
  <cp:revision>6</cp:revision>
  <cp:lastPrinted>2020-04-17T14:28:23Z</cp:lastPrinted>
  <dcterms:created xsi:type="dcterms:W3CDTF">2006-09-06T06:23:25Z</dcterms:created>
  <dcterms:modified xsi:type="dcterms:W3CDTF">2020-04-18T14:02:23Z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п.ц.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