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195" windowHeight="11760"/>
  </bookViews>
  <sheets>
    <sheet name="водоотведение" sheetId="6" r:id="rId1"/>
    <sheet name="тепло" sheetId="7" r:id="rId2"/>
  </sheets>
  <calcPr calcId="124519"/>
</workbook>
</file>

<file path=xl/calcChain.xml><?xml version="1.0" encoding="utf-8"?>
<calcChain xmlns="http://schemas.openxmlformats.org/spreadsheetml/2006/main">
  <c r="T60" i="7"/>
  <c r="U60" s="1"/>
  <c r="V60" s="1"/>
  <c r="S60"/>
  <c r="R60"/>
  <c r="Q60"/>
  <c r="L60"/>
  <c r="K60"/>
  <c r="J60"/>
  <c r="I60"/>
  <c r="H60"/>
  <c r="F60"/>
  <c r="E60"/>
  <c r="V59"/>
  <c r="U59"/>
  <c r="T59"/>
  <c r="S59"/>
  <c r="R59"/>
  <c r="Q59"/>
  <c r="L59"/>
  <c r="K59"/>
  <c r="J59"/>
  <c r="I59"/>
  <c r="H59"/>
  <c r="F59"/>
  <c r="E59"/>
  <c r="V58"/>
  <c r="U58"/>
  <c r="T58"/>
  <c r="Q58"/>
  <c r="P58"/>
  <c r="L58"/>
  <c r="K58"/>
  <c r="J58"/>
  <c r="I58"/>
  <c r="H58"/>
  <c r="F58"/>
  <c r="E58"/>
  <c r="V57"/>
  <c r="U57"/>
  <c r="U56"/>
  <c r="V56" s="1"/>
  <c r="V54"/>
  <c r="U54"/>
  <c r="T54"/>
  <c r="S54"/>
  <c r="R54"/>
  <c r="Q54"/>
  <c r="P54"/>
  <c r="O54"/>
  <c r="T52"/>
  <c r="F52"/>
  <c r="V51"/>
  <c r="U51"/>
  <c r="V49"/>
  <c r="U49"/>
  <c r="N49"/>
  <c r="G49"/>
  <c r="V48"/>
  <c r="U48"/>
  <c r="N48"/>
  <c r="G48"/>
  <c r="T47"/>
  <c r="G46"/>
  <c r="U44"/>
  <c r="V44" s="1"/>
  <c r="O44"/>
  <c r="G44"/>
  <c r="U43"/>
  <c r="V43" s="1"/>
  <c r="N43"/>
  <c r="G43"/>
  <c r="U42"/>
  <c r="V42" s="1"/>
  <c r="R41"/>
  <c r="S41" s="1"/>
  <c r="Q41"/>
  <c r="P41"/>
  <c r="G41"/>
  <c r="R40"/>
  <c r="S40" s="1"/>
  <c r="Q40"/>
  <c r="P40"/>
  <c r="G40"/>
  <c r="R39"/>
  <c r="S39" s="1"/>
  <c r="Q39"/>
  <c r="P39"/>
  <c r="G39"/>
  <c r="R38"/>
  <c r="S38" s="1"/>
  <c r="S37" s="1"/>
  <c r="Q38"/>
  <c r="Q37" s="1"/>
  <c r="P38"/>
  <c r="G38"/>
  <c r="T37"/>
  <c r="O37"/>
  <c r="L37"/>
  <c r="K37"/>
  <c r="J37"/>
  <c r="I37"/>
  <c r="H37"/>
  <c r="G37" s="1"/>
  <c r="F37"/>
  <c r="E37"/>
  <c r="D37"/>
  <c r="P36"/>
  <c r="U36" s="1"/>
  <c r="V36" s="1"/>
  <c r="O36"/>
  <c r="G36"/>
  <c r="Q35"/>
  <c r="R35" s="1"/>
  <c r="S35" s="1"/>
  <c r="P35"/>
  <c r="G35"/>
  <c r="V34"/>
  <c r="U34"/>
  <c r="V33"/>
  <c r="U33"/>
  <c r="G33"/>
  <c r="V32"/>
  <c r="U32"/>
  <c r="S32"/>
  <c r="S33" s="1"/>
  <c r="R32"/>
  <c r="Q32"/>
  <c r="O32"/>
  <c r="O33" s="1"/>
  <c r="N32"/>
  <c r="N60" s="1"/>
  <c r="G32"/>
  <c r="G60" s="1"/>
  <c r="T30"/>
  <c r="U30" s="1"/>
  <c r="V30" s="1"/>
  <c r="P30"/>
  <c r="L30"/>
  <c r="K30"/>
  <c r="K28" s="1"/>
  <c r="K27" s="1"/>
  <c r="J30"/>
  <c r="J28" s="1"/>
  <c r="J27" s="1"/>
  <c r="I30"/>
  <c r="H30"/>
  <c r="G30"/>
  <c r="F30"/>
  <c r="F28" s="1"/>
  <c r="F27" s="1"/>
  <c r="E30"/>
  <c r="D30"/>
  <c r="T28"/>
  <c r="L28"/>
  <c r="L27" s="1"/>
  <c r="I28"/>
  <c r="I27" s="1"/>
  <c r="H28"/>
  <c r="E28"/>
  <c r="E27" s="1"/>
  <c r="T27"/>
  <c r="D27"/>
  <c r="U26"/>
  <c r="Q25"/>
  <c r="R25" s="1"/>
  <c r="S25" s="1"/>
  <c r="P25"/>
  <c r="G25"/>
  <c r="Q24"/>
  <c r="R24" s="1"/>
  <c r="S24" s="1"/>
  <c r="P24"/>
  <c r="U24" s="1"/>
  <c r="V24" s="1"/>
  <c r="O24"/>
  <c r="N24" s="1"/>
  <c r="G24"/>
  <c r="R23"/>
  <c r="S23" s="1"/>
  <c r="Q23"/>
  <c r="P23"/>
  <c r="N23" s="1"/>
  <c r="L23"/>
  <c r="L21" s="1"/>
  <c r="K23"/>
  <c r="J23"/>
  <c r="I23"/>
  <c r="G23"/>
  <c r="R22"/>
  <c r="S22" s="1"/>
  <c r="Q22"/>
  <c r="Q21" s="1"/>
  <c r="P22"/>
  <c r="U22" s="1"/>
  <c r="V22" s="1"/>
  <c r="O22"/>
  <c r="G22"/>
  <c r="T21"/>
  <c r="U21" s="1"/>
  <c r="V21" s="1"/>
  <c r="P21"/>
  <c r="O21"/>
  <c r="K21"/>
  <c r="J21"/>
  <c r="I21"/>
  <c r="H21"/>
  <c r="G21"/>
  <c r="F21"/>
  <c r="E21"/>
  <c r="D21"/>
  <c r="V20"/>
  <c r="U20"/>
  <c r="N20"/>
  <c r="G20"/>
  <c r="V19"/>
  <c r="U19"/>
  <c r="V18"/>
  <c r="U18"/>
  <c r="G18"/>
  <c r="V17"/>
  <c r="U17"/>
  <c r="S17"/>
  <c r="S58" s="1"/>
  <c r="R17"/>
  <c r="R58" s="1"/>
  <c r="Q17"/>
  <c r="Q44" s="1"/>
  <c r="O17"/>
  <c r="O58" s="1"/>
  <c r="N17"/>
  <c r="N58" s="1"/>
  <c r="G17"/>
  <c r="G58" s="1"/>
  <c r="T15"/>
  <c r="U15" s="1"/>
  <c r="V15" s="1"/>
  <c r="P15"/>
  <c r="L15"/>
  <c r="K15"/>
  <c r="J15"/>
  <c r="I15"/>
  <c r="H15"/>
  <c r="G15"/>
  <c r="F15"/>
  <c r="E15"/>
  <c r="D15"/>
  <c r="V14"/>
  <c r="U14"/>
  <c r="N14"/>
  <c r="G14"/>
  <c r="V13"/>
  <c r="U13"/>
  <c r="N13"/>
  <c r="G13"/>
  <c r="Q12"/>
  <c r="R12" s="1"/>
  <c r="S12" s="1"/>
  <c r="P12"/>
  <c r="P8" s="1"/>
  <c r="O12"/>
  <c r="N12" s="1"/>
  <c r="G12"/>
  <c r="V10"/>
  <c r="U10"/>
  <c r="R10"/>
  <c r="S10" s="1"/>
  <c r="S8" s="1"/>
  <c r="Q10"/>
  <c r="Q8" s="1"/>
  <c r="O10"/>
  <c r="L10"/>
  <c r="L8" s="1"/>
  <c r="L7" s="1"/>
  <c r="L45" s="1"/>
  <c r="L47" s="1"/>
  <c r="K10"/>
  <c r="K8" s="1"/>
  <c r="K7" s="1"/>
  <c r="J10"/>
  <c r="I10"/>
  <c r="G10"/>
  <c r="G8" s="1"/>
  <c r="G7" s="1"/>
  <c r="T8"/>
  <c r="O8"/>
  <c r="J8"/>
  <c r="J7" s="1"/>
  <c r="I8"/>
  <c r="H8"/>
  <c r="F8"/>
  <c r="F7" s="1"/>
  <c r="E8"/>
  <c r="D8"/>
  <c r="M7"/>
  <c r="I7"/>
  <c r="I45" s="1"/>
  <c r="I47" s="1"/>
  <c r="H7"/>
  <c r="E7"/>
  <c r="E45" s="1"/>
  <c r="E46" s="1"/>
  <c r="D7"/>
  <c r="D45" s="1"/>
  <c r="R86" i="6"/>
  <c r="S86" s="1"/>
  <c r="T86" s="1"/>
  <c r="R92"/>
  <c r="S92" s="1"/>
  <c r="T92" s="1"/>
  <c r="R91"/>
  <c r="S91" s="1"/>
  <c r="T91" s="1"/>
  <c r="R42"/>
  <c r="R35"/>
  <c r="R28"/>
  <c r="R63"/>
  <c r="S63" s="1"/>
  <c r="T63" s="1"/>
  <c r="S58"/>
  <c r="T58" s="1"/>
  <c r="S46"/>
  <c r="T46" s="1"/>
  <c r="S42"/>
  <c r="T42" s="1"/>
  <c r="S41"/>
  <c r="T41" s="1"/>
  <c r="R26"/>
  <c r="S26" s="1"/>
  <c r="T26" s="1"/>
  <c r="R17"/>
  <c r="S17" s="1"/>
  <c r="T17" s="1"/>
  <c r="R9"/>
  <c r="S11"/>
  <c r="T11" s="1"/>
  <c r="S15"/>
  <c r="T15" s="1"/>
  <c r="S16"/>
  <c r="T16" s="1"/>
  <c r="S19"/>
  <c r="T19" s="1"/>
  <c r="S20"/>
  <c r="T20" s="1"/>
  <c r="S21"/>
  <c r="T21" s="1"/>
  <c r="S22"/>
  <c r="T22" s="1"/>
  <c r="S27"/>
  <c r="T27" s="1"/>
  <c r="S28"/>
  <c r="T28" s="1"/>
  <c r="S29"/>
  <c r="T29" s="1"/>
  <c r="S30"/>
  <c r="T30" s="1"/>
  <c r="S31"/>
  <c r="T31" s="1"/>
  <c r="S32"/>
  <c r="T32" s="1"/>
  <c r="S33"/>
  <c r="T33" s="1"/>
  <c r="S37"/>
  <c r="T37" s="1"/>
  <c r="S38"/>
  <c r="T38" s="1"/>
  <c r="S39"/>
  <c r="T39" s="1"/>
  <c r="S40"/>
  <c r="T40" s="1"/>
  <c r="S43"/>
  <c r="T43" s="1"/>
  <c r="S44"/>
  <c r="T44" s="1"/>
  <c r="S45"/>
  <c r="T45" s="1"/>
  <c r="S47"/>
  <c r="T47" s="1"/>
  <c r="S48"/>
  <c r="T48" s="1"/>
  <c r="S49"/>
  <c r="T49" s="1"/>
  <c r="S50"/>
  <c r="T50" s="1"/>
  <c r="S51"/>
  <c r="T51" s="1"/>
  <c r="S52"/>
  <c r="T52" s="1"/>
  <c r="S53"/>
  <c r="T53" s="1"/>
  <c r="S54"/>
  <c r="T54" s="1"/>
  <c r="S55"/>
  <c r="T55" s="1"/>
  <c r="S56"/>
  <c r="T56" s="1"/>
  <c r="S57"/>
  <c r="T57" s="1"/>
  <c r="S60"/>
  <c r="T60" s="1"/>
  <c r="S61"/>
  <c r="T61" s="1"/>
  <c r="S65"/>
  <c r="T65" s="1"/>
  <c r="S66"/>
  <c r="T66" s="1"/>
  <c r="S67"/>
  <c r="T67" s="1"/>
  <c r="S68"/>
  <c r="T68" s="1"/>
  <c r="S69"/>
  <c r="T69" s="1"/>
  <c r="S70"/>
  <c r="T70" s="1"/>
  <c r="S71"/>
  <c r="T71" s="1"/>
  <c r="S78"/>
  <c r="T78" s="1"/>
  <c r="S79"/>
  <c r="T79" s="1"/>
  <c r="S80"/>
  <c r="T80" s="1"/>
  <c r="S81"/>
  <c r="T81" s="1"/>
  <c r="S82"/>
  <c r="T82" s="1"/>
  <c r="S88"/>
  <c r="T88" s="1"/>
  <c r="S89"/>
  <c r="T89" s="1"/>
  <c r="O17"/>
  <c r="N92"/>
  <c r="N37" s="1"/>
  <c r="N38" s="1"/>
  <c r="N91"/>
  <c r="P91" s="1"/>
  <c r="L89"/>
  <c r="L88"/>
  <c r="L86"/>
  <c r="L78"/>
  <c r="N65"/>
  <c r="M63"/>
  <c r="N61"/>
  <c r="P61" s="1"/>
  <c r="Q61" s="1"/>
  <c r="N60"/>
  <c r="O60" s="1"/>
  <c r="P60" s="1"/>
  <c r="Q60" s="1"/>
  <c r="L59"/>
  <c r="N58"/>
  <c r="O58" s="1"/>
  <c r="P58" s="1"/>
  <c r="Q58" s="1"/>
  <c r="N57"/>
  <c r="O57" s="1"/>
  <c r="P57" s="1"/>
  <c r="Q57" s="1"/>
  <c r="N51"/>
  <c r="O51" s="1"/>
  <c r="P51" s="1"/>
  <c r="Q51" s="1"/>
  <c r="N46"/>
  <c r="O46" s="1"/>
  <c r="P46" s="1"/>
  <c r="Q46" s="1"/>
  <c r="N45"/>
  <c r="N44"/>
  <c r="O44" s="1"/>
  <c r="M42"/>
  <c r="N41"/>
  <c r="O41" s="1"/>
  <c r="P41" s="1"/>
  <c r="Q41" s="1"/>
  <c r="N40"/>
  <c r="O40" s="1"/>
  <c r="P40" s="1"/>
  <c r="Q40" s="1"/>
  <c r="L40" s="1"/>
  <c r="M37"/>
  <c r="N31"/>
  <c r="O31" s="1"/>
  <c r="P31" s="1"/>
  <c r="Q31" s="1"/>
  <c r="N28"/>
  <c r="O28" s="1"/>
  <c r="P28" s="1"/>
  <c r="Q28" s="1"/>
  <c r="N27"/>
  <c r="O27" s="1"/>
  <c r="O26" s="1"/>
  <c r="M26"/>
  <c r="L22"/>
  <c r="M19"/>
  <c r="M20" s="1"/>
  <c r="L15"/>
  <c r="N14"/>
  <c r="M13"/>
  <c r="M9" s="1"/>
  <c r="L12"/>
  <c r="N11"/>
  <c r="L10"/>
  <c r="L50" i="7" l="1"/>
  <c r="L52"/>
  <c r="U8"/>
  <c r="V8" s="1"/>
  <c r="P7"/>
  <c r="I50"/>
  <c r="I52"/>
  <c r="O30"/>
  <c r="S21"/>
  <c r="N22"/>
  <c r="K45"/>
  <c r="K47" s="1"/>
  <c r="N25"/>
  <c r="F45"/>
  <c r="F46" s="1"/>
  <c r="N21"/>
  <c r="P27"/>
  <c r="N38"/>
  <c r="N39"/>
  <c r="N40"/>
  <c r="N41"/>
  <c r="J45"/>
  <c r="J47" s="1"/>
  <c r="N10"/>
  <c r="G28"/>
  <c r="N36"/>
  <c r="S18"/>
  <c r="S15" s="1"/>
  <c r="S7" s="1"/>
  <c r="T7"/>
  <c r="U7" s="1"/>
  <c r="V7" s="1"/>
  <c r="R8"/>
  <c r="R7" s="1"/>
  <c r="U12"/>
  <c r="V12" s="1"/>
  <c r="R18"/>
  <c r="U25"/>
  <c r="V25" s="1"/>
  <c r="S30"/>
  <c r="R33"/>
  <c r="U35"/>
  <c r="V35" s="1"/>
  <c r="R37"/>
  <c r="N37" s="1"/>
  <c r="S44"/>
  <c r="G59"/>
  <c r="R15"/>
  <c r="Q18"/>
  <c r="Q15" s="1"/>
  <c r="Q7" s="1"/>
  <c r="R21"/>
  <c r="U23"/>
  <c r="V23" s="1"/>
  <c r="H27"/>
  <c r="G27" s="1"/>
  <c r="Q33"/>
  <c r="Q27" s="1"/>
  <c r="N35"/>
  <c r="U38"/>
  <c r="V38" s="1"/>
  <c r="U39"/>
  <c r="V39" s="1"/>
  <c r="U40"/>
  <c r="V40" s="1"/>
  <c r="U41"/>
  <c r="V41" s="1"/>
  <c r="R44"/>
  <c r="N44" s="1"/>
  <c r="O18"/>
  <c r="Q36"/>
  <c r="R36" s="1"/>
  <c r="S36" s="1"/>
  <c r="S27" s="1"/>
  <c r="P37"/>
  <c r="U37" s="1"/>
  <c r="V37" s="1"/>
  <c r="N59"/>
  <c r="R8" i="6"/>
  <c r="S13"/>
  <c r="T13" s="1"/>
  <c r="N13"/>
  <c r="O13" s="1"/>
  <c r="P13" s="1"/>
  <c r="Q13" s="1"/>
  <c r="L13" s="1"/>
  <c r="N19"/>
  <c r="N20" s="1"/>
  <c r="L61"/>
  <c r="P27"/>
  <c r="P26" s="1"/>
  <c r="P92"/>
  <c r="P37" s="1"/>
  <c r="P38" s="1"/>
  <c r="N34"/>
  <c r="P44"/>
  <c r="Q44" s="1"/>
  <c r="P19"/>
  <c r="P20" s="1"/>
  <c r="P17" s="1"/>
  <c r="Q91"/>
  <c r="Q19" s="1"/>
  <c r="Q20" s="1"/>
  <c r="L57"/>
  <c r="M38"/>
  <c r="M34" s="1"/>
  <c r="N42"/>
  <c r="P11"/>
  <c r="P9" s="1"/>
  <c r="O45"/>
  <c r="P45" s="1"/>
  <c r="Q45" s="1"/>
  <c r="Q42" s="1"/>
  <c r="L28"/>
  <c r="L14"/>
  <c r="L46"/>
  <c r="L58"/>
  <c r="P65"/>
  <c r="O63"/>
  <c r="L41"/>
  <c r="L31"/>
  <c r="L51"/>
  <c r="L60"/>
  <c r="N63"/>
  <c r="N17"/>
  <c r="M17"/>
  <c r="M8" s="1"/>
  <c r="N26"/>
  <c r="S45" i="7" l="1"/>
  <c r="S47" s="1"/>
  <c r="S50" s="1"/>
  <c r="S52" s="1"/>
  <c r="S28"/>
  <c r="O15"/>
  <c r="N18"/>
  <c r="Q45"/>
  <c r="Q47" s="1"/>
  <c r="Q50" s="1"/>
  <c r="Q52" s="1"/>
  <c r="Q28"/>
  <c r="J52"/>
  <c r="J50"/>
  <c r="P45"/>
  <c r="P47" s="1"/>
  <c r="P28"/>
  <c r="U28" s="1"/>
  <c r="V28" s="1"/>
  <c r="U27"/>
  <c r="V27" s="1"/>
  <c r="K50"/>
  <c r="K52"/>
  <c r="O27"/>
  <c r="R27"/>
  <c r="T45"/>
  <c r="R30"/>
  <c r="N33"/>
  <c r="N8"/>
  <c r="H45"/>
  <c r="Q30"/>
  <c r="N30" s="1"/>
  <c r="R34" i="6"/>
  <c r="N9"/>
  <c r="N8" s="1"/>
  <c r="N72" s="1"/>
  <c r="N75" s="1"/>
  <c r="N83" s="1"/>
  <c r="Q11"/>
  <c r="Q9" s="1"/>
  <c r="O9"/>
  <c r="S9" s="1"/>
  <c r="T9" s="1"/>
  <c r="Q27"/>
  <c r="Q26" s="1"/>
  <c r="L26" s="1"/>
  <c r="P34"/>
  <c r="Q92"/>
  <c r="Q37" s="1"/>
  <c r="Q38" s="1"/>
  <c r="O42"/>
  <c r="O35" s="1"/>
  <c r="L19"/>
  <c r="P42"/>
  <c r="L45"/>
  <c r="N35"/>
  <c r="L91"/>
  <c r="L44"/>
  <c r="M35"/>
  <c r="P63"/>
  <c r="Q65"/>
  <c r="Q17"/>
  <c r="M72"/>
  <c r="P8"/>
  <c r="G45" i="7" l="1"/>
  <c r="H47"/>
  <c r="U45"/>
  <c r="V45" s="1"/>
  <c r="T46"/>
  <c r="U46" s="1"/>
  <c r="P50"/>
  <c r="U47"/>
  <c r="V47" s="1"/>
  <c r="O28"/>
  <c r="N27"/>
  <c r="N28" s="1"/>
  <c r="N15"/>
  <c r="O7"/>
  <c r="N7" s="1"/>
  <c r="R45"/>
  <c r="R47" s="1"/>
  <c r="R50" s="1"/>
  <c r="R52" s="1"/>
  <c r="R28"/>
  <c r="O34" i="6"/>
  <c r="S34" s="1"/>
  <c r="T34" s="1"/>
  <c r="S35"/>
  <c r="T35" s="1"/>
  <c r="R72"/>
  <c r="R73" s="1"/>
  <c r="P35"/>
  <c r="Q8"/>
  <c r="L27"/>
  <c r="L9"/>
  <c r="L11"/>
  <c r="P72"/>
  <c r="P75" s="1"/>
  <c r="P83" s="1"/>
  <c r="L38"/>
  <c r="L37"/>
  <c r="L42"/>
  <c r="L92"/>
  <c r="O8"/>
  <c r="S8" s="1"/>
  <c r="T8" s="1"/>
  <c r="L17"/>
  <c r="L20"/>
  <c r="Q63"/>
  <c r="Q35" s="1"/>
  <c r="L65"/>
  <c r="Q34"/>
  <c r="M75"/>
  <c r="U50" i="7" l="1"/>
  <c r="V50" s="1"/>
  <c r="P52"/>
  <c r="U52" s="1"/>
  <c r="V52" s="1"/>
  <c r="H50"/>
  <c r="G47"/>
  <c r="O45"/>
  <c r="S72" i="6"/>
  <c r="T72" s="1"/>
  <c r="R83"/>
  <c r="S75"/>
  <c r="T75" s="1"/>
  <c r="O72"/>
  <c r="O75" s="1"/>
  <c r="O83" s="1"/>
  <c r="O84" s="1"/>
  <c r="L35"/>
  <c r="L8"/>
  <c r="M83"/>
  <c r="Q72"/>
  <c r="L63"/>
  <c r="O47" i="7" l="1"/>
  <c r="N45"/>
  <c r="G50"/>
  <c r="G52" s="1"/>
  <c r="H52"/>
  <c r="S83" i="6"/>
  <c r="T83" s="1"/>
  <c r="L34"/>
  <c r="P84"/>
  <c r="N84"/>
  <c r="Q75"/>
  <c r="L72"/>
  <c r="O50" i="7" l="1"/>
  <c r="N47"/>
  <c r="Q83" i="6"/>
  <c r="R84" s="1"/>
  <c r="S84" s="1"/>
  <c r="T84" s="1"/>
  <c r="L75"/>
  <c r="O52" i="7" l="1"/>
  <c r="N50"/>
  <c r="N52" s="1"/>
  <c r="Q84" i="6"/>
  <c r="L83"/>
</calcChain>
</file>

<file path=xl/sharedStrings.xml><?xml version="1.0" encoding="utf-8"?>
<sst xmlns="http://schemas.openxmlformats.org/spreadsheetml/2006/main" count="341" uniqueCount="188">
  <si>
    <t>Приложение 3</t>
  </si>
  <si>
    <t>к Правилам утверждения тарифов</t>
  </si>
  <si>
    <t>Фактические</t>
  </si>
  <si>
    <t>Проект тарифной сметы субъекта</t>
  </si>
  <si>
    <t>тыс.тенге</t>
  </si>
  <si>
    <t>Материальные затраты, всего</t>
  </si>
  <si>
    <t>в том числе:</t>
  </si>
  <si>
    <t>1.1.</t>
  </si>
  <si>
    <t>сырье и материалы</t>
  </si>
  <si>
    <t>1.2.</t>
  </si>
  <si>
    <t>покупные изделия</t>
  </si>
  <si>
    <t>1.3.</t>
  </si>
  <si>
    <t>ГСМ</t>
  </si>
  <si>
    <t>1.4.</t>
  </si>
  <si>
    <t>топливо</t>
  </si>
  <si>
    <t>1.5.</t>
  </si>
  <si>
    <t xml:space="preserve">энергия </t>
  </si>
  <si>
    <t>1.6.</t>
  </si>
  <si>
    <t>вода покупная</t>
  </si>
  <si>
    <t>Расходы на оплату труда, всего</t>
  </si>
  <si>
    <t>2.1.</t>
  </si>
  <si>
    <t>заработная плата</t>
  </si>
  <si>
    <t>2.2.</t>
  </si>
  <si>
    <t>социальный налог</t>
  </si>
  <si>
    <t>Амортизация</t>
  </si>
  <si>
    <t>Ремонт,всего</t>
  </si>
  <si>
    <t>4.1.</t>
  </si>
  <si>
    <t>Прочие затраты, всего</t>
  </si>
  <si>
    <t>5.1.</t>
  </si>
  <si>
    <t>командировочные производственного персонала</t>
  </si>
  <si>
    <t>Другие затраты</t>
  </si>
  <si>
    <t>6.1.</t>
  </si>
  <si>
    <t>6.2.</t>
  </si>
  <si>
    <t>транспортные услуги</t>
  </si>
  <si>
    <t>профилактические услуги</t>
  </si>
  <si>
    <t>6.4.</t>
  </si>
  <si>
    <t>вывоз и захоронение ТБО</t>
  </si>
  <si>
    <t>6.5.</t>
  </si>
  <si>
    <t>II</t>
  </si>
  <si>
    <t>Расходы периода, всего в т.ч.</t>
  </si>
  <si>
    <t>Общие и административные расходы, всего</t>
  </si>
  <si>
    <t>Заработная плата административного персонала</t>
  </si>
  <si>
    <t>услуги банка</t>
  </si>
  <si>
    <t>Канцелярские товары и бланки</t>
  </si>
  <si>
    <t>услуги сторонних организаций</t>
  </si>
  <si>
    <t>6.5.1.</t>
  </si>
  <si>
    <t>6.5.5.</t>
  </si>
  <si>
    <t>6.5.6.</t>
  </si>
  <si>
    <t>6.5.7.</t>
  </si>
  <si>
    <t>6.5.8.</t>
  </si>
  <si>
    <t>Обязател страхов владел транспортных средств</t>
  </si>
  <si>
    <t>Создание современной системы видеонаблюдения</t>
  </si>
  <si>
    <t>6.5.10.</t>
  </si>
  <si>
    <t>Услуги по хранению багажа</t>
  </si>
  <si>
    <t>6.5.11.</t>
  </si>
  <si>
    <t>Изготовления вывески</t>
  </si>
  <si>
    <t>6.5.12.</t>
  </si>
  <si>
    <t>6.5.13.</t>
  </si>
  <si>
    <t>Установка устройства</t>
  </si>
  <si>
    <t>командировочные расходы</t>
  </si>
  <si>
    <t>оплата аудиторских услуг</t>
  </si>
  <si>
    <t>Налоги</t>
  </si>
  <si>
    <t>информационные услуги</t>
  </si>
  <si>
    <t>Прочие расходы</t>
  </si>
  <si>
    <t>госпошлина</t>
  </si>
  <si>
    <t>6.12.6.</t>
  </si>
  <si>
    <t>Тех.осмотр</t>
  </si>
  <si>
    <t>6.12.7.</t>
  </si>
  <si>
    <t>Обучение на курсы</t>
  </si>
  <si>
    <t>6.12.8.</t>
  </si>
  <si>
    <t>Объявление</t>
  </si>
  <si>
    <t>6.12.9.</t>
  </si>
  <si>
    <t>Страхование</t>
  </si>
  <si>
    <t>6.12.10.</t>
  </si>
  <si>
    <t>Платная справка и прочие услуги ГТС</t>
  </si>
  <si>
    <t>Расходы на выплату вознограждений</t>
  </si>
  <si>
    <t>III</t>
  </si>
  <si>
    <t>Всего затрат на предоставление услуг</t>
  </si>
  <si>
    <t>IV</t>
  </si>
  <si>
    <t>V</t>
  </si>
  <si>
    <t>Регулируемая база задействованных активов (РБА)</t>
  </si>
  <si>
    <t>VI</t>
  </si>
  <si>
    <t>Всего доходов</t>
  </si>
  <si>
    <t>VII</t>
  </si>
  <si>
    <t>Объемы оказываемых услуг</t>
  </si>
  <si>
    <t>VIII</t>
  </si>
  <si>
    <t>Нормативные технические потери</t>
  </si>
  <si>
    <t>%</t>
  </si>
  <si>
    <t>в натураль-</t>
  </si>
  <si>
    <t>ных показа-</t>
  </si>
  <si>
    <t>телях</t>
  </si>
  <si>
    <t>IX</t>
  </si>
  <si>
    <t>Тариф</t>
  </si>
  <si>
    <t>Справочно:</t>
  </si>
  <si>
    <t>Среднесписочная численность персонала,</t>
  </si>
  <si>
    <t>человек</t>
  </si>
  <si>
    <t>производственного</t>
  </si>
  <si>
    <t>административного</t>
  </si>
  <si>
    <t>Среднемесячная заработная плата, всего, в.т.ч.</t>
  </si>
  <si>
    <t>тенге</t>
  </si>
  <si>
    <t>8.1.</t>
  </si>
  <si>
    <t>Производственного персонала</t>
  </si>
  <si>
    <t>8.2.</t>
  </si>
  <si>
    <t>Административного персонала</t>
  </si>
  <si>
    <t>услуги по обслуживанию Энергосистем</t>
  </si>
  <si>
    <t>услуги по ремонту</t>
  </si>
  <si>
    <t>почтовые услуги</t>
  </si>
  <si>
    <t>программное обеспечение</t>
  </si>
  <si>
    <t>обслуживание компьютера</t>
  </si>
  <si>
    <t>мониторинг эмиссии</t>
  </si>
  <si>
    <t>нотариальные услуги</t>
  </si>
  <si>
    <t>за изготовление технического паспорта</t>
  </si>
  <si>
    <t>изготовления сметной докумаентация</t>
  </si>
  <si>
    <t>инструментальные замеры для аттестации производ. объектов</t>
  </si>
  <si>
    <t>Разработка проекта  предельно допустимых выросов</t>
  </si>
  <si>
    <t>Обяззател.страхование работников</t>
  </si>
  <si>
    <t>Остаток необоснованного дохода</t>
  </si>
  <si>
    <t>представительские расходы, расходы на периодическую печать, связь</t>
  </si>
  <si>
    <t>Затраты на производство товаров и предоставление услуг, всего</t>
  </si>
  <si>
    <t>капитальный ремонт, не приводящий к увеличению стоимости основных средств</t>
  </si>
  <si>
    <t>тенге/м3</t>
  </si>
  <si>
    <t>Рост</t>
  </si>
  <si>
    <t>Единица измерения</t>
  </si>
  <si>
    <t>Наименование показателей</t>
  </si>
  <si>
    <t>№</t>
  </si>
  <si>
    <t>7.1.</t>
  </si>
  <si>
    <t>7.2.</t>
  </si>
  <si>
    <t>7.3.</t>
  </si>
  <si>
    <t>7.4.</t>
  </si>
  <si>
    <t>7.5.</t>
  </si>
  <si>
    <t>7.5.2.</t>
  </si>
  <si>
    <t>7.5.1.</t>
  </si>
  <si>
    <t>7.5.3.</t>
  </si>
  <si>
    <t>7.6.</t>
  </si>
  <si>
    <t>7.7.</t>
  </si>
  <si>
    <t>7.8.</t>
  </si>
  <si>
    <t>7.9.</t>
  </si>
  <si>
    <t>7.11.</t>
  </si>
  <si>
    <t>7.10.</t>
  </si>
  <si>
    <t>7.5.4.</t>
  </si>
  <si>
    <t>7.12.</t>
  </si>
  <si>
    <t>7.12.1.</t>
  </si>
  <si>
    <t>7.12.3.</t>
  </si>
  <si>
    <t>ОСМС</t>
  </si>
  <si>
    <t>лечебное пособие (экология)</t>
  </si>
  <si>
    <t>Утверждено за 2018 год</t>
  </si>
  <si>
    <t>Факт за 2018 год</t>
  </si>
  <si>
    <t>Отклонение  (+,-)</t>
  </si>
  <si>
    <t>Отклонение (%)</t>
  </si>
  <si>
    <t>Прибыль</t>
  </si>
  <si>
    <t xml:space="preserve">                            Исполнение тарифной сметы КГП "Улы Борсык" на услуги водоотведения за 2018 год</t>
  </si>
  <si>
    <t>Исполнение тарифной сметы КГП "Улы Борсык" на услуги по производству, передаче, распределению и снабжению тепловой энергией за 2018 год</t>
  </si>
  <si>
    <t>Принято в действ. тарифной смете</t>
  </si>
  <si>
    <t>Факт.показатели за предшествующий законч.год</t>
  </si>
  <si>
    <t>Факт. показатели за 4 законч. квартала</t>
  </si>
  <si>
    <t>Отклонение (+,-)</t>
  </si>
  <si>
    <t>I</t>
  </si>
  <si>
    <t>Мониторинг окружающей среды</t>
  </si>
  <si>
    <t>4.2.</t>
  </si>
  <si>
    <t>Суточная температура Услуги Казгидромет)</t>
  </si>
  <si>
    <t>4.3.</t>
  </si>
  <si>
    <t>Поверка газосчетчиков</t>
  </si>
  <si>
    <t>4.4.</t>
  </si>
  <si>
    <t>Вывоз и захоронение ТБО</t>
  </si>
  <si>
    <t>Услуги техобслуживания</t>
  </si>
  <si>
    <t>Затраты на оплату труда, всего</t>
  </si>
  <si>
    <t>в том числе</t>
  </si>
  <si>
    <t>5.1.1.</t>
  </si>
  <si>
    <t>5.1.2.</t>
  </si>
  <si>
    <t>5.2.</t>
  </si>
  <si>
    <t>5.3.</t>
  </si>
  <si>
    <t>5.4.</t>
  </si>
  <si>
    <t>5.4.1.</t>
  </si>
  <si>
    <t>Услуги связи</t>
  </si>
  <si>
    <t>5.4.2.</t>
  </si>
  <si>
    <t>5.5.</t>
  </si>
  <si>
    <t>5.6.</t>
  </si>
  <si>
    <t>представительские расходы, расходы на периодическую печать</t>
  </si>
  <si>
    <t>5.7.</t>
  </si>
  <si>
    <t>страхование работников</t>
  </si>
  <si>
    <t>5.8.</t>
  </si>
  <si>
    <t>5.9.</t>
  </si>
  <si>
    <t>лечебное пособие</t>
  </si>
  <si>
    <t>Остаток ненобоснованного дохода</t>
  </si>
  <si>
    <t>X</t>
  </si>
  <si>
    <t>XI</t>
  </si>
  <si>
    <t>ТАРИФ</t>
  </si>
  <si>
    <t>тенге/Гкал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</si>
</sst>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16" fontId="6" fillId="0" borderId="4" xfId="0" applyNumberFormat="1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/>
    <xf numFmtId="0" fontId="9" fillId="0" borderId="1" xfId="0" applyFont="1" applyBorder="1"/>
    <xf numFmtId="0" fontId="10" fillId="0" borderId="1" xfId="0" applyFont="1" applyBorder="1" applyAlignment="1">
      <alignment horizontal="left"/>
    </xf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9" fillId="0" borderId="11" xfId="0" applyFont="1" applyBorder="1"/>
    <xf numFmtId="0" fontId="9" fillId="0" borderId="3" xfId="0" applyFont="1" applyBorder="1"/>
    <xf numFmtId="0" fontId="10" fillId="0" borderId="3" xfId="0" applyFont="1" applyBorder="1" applyAlignment="1">
      <alignment horizontal="center"/>
    </xf>
    <xf numFmtId="0" fontId="9" fillId="0" borderId="10" xfId="0" applyFont="1" applyBorder="1"/>
    <xf numFmtId="0" fontId="10" fillId="0" borderId="4" xfId="0" applyFont="1" applyBorder="1" applyAlignment="1">
      <alignment horizontal="center"/>
    </xf>
    <xf numFmtId="0" fontId="9" fillId="0" borderId="0" xfId="0" applyFont="1"/>
    <xf numFmtId="0" fontId="9" fillId="0" borderId="6" xfId="0" applyFont="1" applyBorder="1"/>
    <xf numFmtId="0" fontId="8" fillId="0" borderId="1" xfId="0" applyFont="1" applyBorder="1" applyAlignment="1">
      <alignment horizontal="center"/>
    </xf>
    <xf numFmtId="0" fontId="9" fillId="0" borderId="9" xfId="0" applyFont="1" applyBorder="1"/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/>
    <xf numFmtId="0" fontId="8" fillId="0" borderId="6" xfId="0" applyFont="1" applyBorder="1" applyAlignment="1">
      <alignment horizontal="center"/>
    </xf>
    <xf numFmtId="0" fontId="10" fillId="0" borderId="4" xfId="0" applyFont="1" applyBorder="1" applyAlignment="1"/>
    <xf numFmtId="0" fontId="10" fillId="0" borderId="4" xfId="0" applyFont="1" applyFill="1" applyBorder="1" applyAlignment="1"/>
    <xf numFmtId="0" fontId="8" fillId="0" borderId="4" xfId="0" applyFont="1" applyFill="1" applyBorder="1" applyAlignment="1"/>
    <xf numFmtId="164" fontId="10" fillId="0" borderId="4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6" xfId="0" applyFont="1" applyBorder="1"/>
    <xf numFmtId="164" fontId="9" fillId="0" borderId="4" xfId="0" applyNumberFormat="1" applyFont="1" applyBorder="1"/>
    <xf numFmtId="0" fontId="8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0" borderId="4" xfId="0" applyFont="1" applyBorder="1"/>
    <xf numFmtId="164" fontId="8" fillId="0" borderId="4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9" fillId="0" borderId="6" xfId="0" applyNumberFormat="1" applyFont="1" applyBorder="1"/>
    <xf numFmtId="1" fontId="8" fillId="0" borderId="4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2" fontId="8" fillId="0" borderId="4" xfId="0" applyNumberFormat="1" applyFont="1" applyBorder="1"/>
    <xf numFmtId="2" fontId="8" fillId="0" borderId="6" xfId="0" applyNumberFormat="1" applyFont="1" applyBorder="1"/>
    <xf numFmtId="1" fontId="8" fillId="0" borderId="4" xfId="0" applyNumberFormat="1" applyFont="1" applyBorder="1"/>
    <xf numFmtId="1" fontId="8" fillId="0" borderId="6" xfId="0" applyNumberFormat="1" applyFont="1" applyBorder="1"/>
    <xf numFmtId="1" fontId="10" fillId="0" borderId="4" xfId="0" applyNumberFormat="1" applyFont="1" applyBorder="1"/>
    <xf numFmtId="1" fontId="10" fillId="0" borderId="6" xfId="0" applyNumberFormat="1" applyFont="1" applyBorder="1"/>
    <xf numFmtId="2" fontId="9" fillId="0" borderId="4" xfId="0" applyNumberFormat="1" applyFont="1" applyBorder="1"/>
    <xf numFmtId="2" fontId="7" fillId="0" borderId="4" xfId="0" applyNumberFormat="1" applyFont="1" applyBorder="1"/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9" fillId="2" borderId="4" xfId="0" applyNumberFormat="1" applyFont="1" applyFill="1" applyBorder="1"/>
    <xf numFmtId="0" fontId="8" fillId="0" borderId="9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7" fillId="0" borderId="7" xfId="0" applyFont="1" applyBorder="1"/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/>
    <xf numFmtId="4" fontId="11" fillId="0" borderId="4" xfId="0" applyNumberFormat="1" applyFont="1" applyBorder="1"/>
    <xf numFmtId="4" fontId="9" fillId="0" borderId="4" xfId="0" applyNumberFormat="1" applyFont="1" applyBorder="1"/>
    <xf numFmtId="4" fontId="9" fillId="2" borderId="4" xfId="0" applyNumberFormat="1" applyFont="1" applyFill="1" applyBorder="1"/>
    <xf numFmtId="4" fontId="0" fillId="0" borderId="0" xfId="0" applyNumberFormat="1"/>
    <xf numFmtId="0" fontId="11" fillId="0" borderId="0" xfId="0" applyFont="1" applyAlignment="1">
      <alignment horizontal="left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12" fillId="0" borderId="4" xfId="0" applyNumberFormat="1" applyFont="1" applyBorder="1"/>
    <xf numFmtId="2" fontId="11" fillId="0" borderId="4" xfId="0" applyNumberFormat="1" applyFont="1" applyBorder="1"/>
    <xf numFmtId="0" fontId="14" fillId="0" borderId="4" xfId="0" applyFont="1" applyFill="1" applyBorder="1" applyAlignment="1">
      <alignment horizontal="center" wrapText="1"/>
    </xf>
    <xf numFmtId="0" fontId="2" fillId="0" borderId="4" xfId="0" applyFont="1" applyBorder="1" applyAlignment="1"/>
    <xf numFmtId="0" fontId="2" fillId="0" borderId="4" xfId="0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0" fontId="11" fillId="0" borderId="4" xfId="0" applyFont="1" applyBorder="1"/>
    <xf numFmtId="0" fontId="15" fillId="0" borderId="4" xfId="0" applyFont="1" applyFill="1" applyBorder="1" applyAlignment="1">
      <alignment horizontal="center" wrapText="1"/>
    </xf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164" fontId="11" fillId="0" borderId="4" xfId="0" applyNumberFormat="1" applyFont="1" applyBorder="1" applyAlignment="1">
      <alignment horizontal="right"/>
    </xf>
    <xf numFmtId="2" fontId="1" fillId="0" borderId="4" xfId="0" applyNumberFormat="1" applyFont="1" applyBorder="1" applyAlignment="1">
      <alignment horizontal="center"/>
    </xf>
    <xf numFmtId="0" fontId="1" fillId="0" borderId="4" xfId="0" applyFont="1" applyFill="1" applyBorder="1" applyAlignment="1"/>
    <xf numFmtId="16" fontId="15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/>
    <xf numFmtId="0" fontId="12" fillId="0" borderId="4" xfId="0" applyFont="1" applyBorder="1" applyAlignment="1">
      <alignment horizontal="right"/>
    </xf>
    <xf numFmtId="0" fontId="12" fillId="0" borderId="4" xfId="0" applyFont="1" applyBorder="1"/>
    <xf numFmtId="0" fontId="2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1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4" fillId="0" borderId="1" xfId="0" applyFont="1" applyFill="1" applyBorder="1" applyAlignment="1">
      <alignment horizontal="center" wrapText="1"/>
    </xf>
    <xf numFmtId="14" fontId="15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0" fontId="1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3" fillId="0" borderId="0" xfId="0" applyFont="1"/>
    <xf numFmtId="0" fontId="11" fillId="0" borderId="1" xfId="0" applyFont="1" applyBorder="1"/>
    <xf numFmtId="0" fontId="11" fillId="0" borderId="12" xfId="0" applyFont="1" applyBorder="1"/>
    <xf numFmtId="0" fontId="11" fillId="0" borderId="5" xfId="0" applyFont="1" applyBorder="1"/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2" fillId="0" borderId="4" xfId="0" applyFont="1" applyBorder="1" applyAlignment="1">
      <alignment horizontal="center"/>
    </xf>
    <xf numFmtId="0" fontId="15" fillId="0" borderId="4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1" fillId="0" borderId="3" xfId="0" applyFont="1" applyBorder="1"/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center"/>
    </xf>
    <xf numFmtId="0" fontId="1" fillId="0" borderId="4" xfId="0" applyFont="1" applyBorder="1"/>
    <xf numFmtId="0" fontId="2" fillId="0" borderId="6" xfId="0" applyFont="1" applyBorder="1" applyAlignment="1">
      <alignment wrapText="1"/>
    </xf>
    <xf numFmtId="2" fontId="12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2" fontId="11" fillId="0" borderId="4" xfId="0" applyNumberFormat="1" applyFont="1" applyBorder="1" applyAlignment="1">
      <alignment horizontal="center"/>
    </xf>
    <xf numFmtId="164" fontId="11" fillId="0" borderId="4" xfId="0" applyNumberFormat="1" applyFont="1" applyBorder="1"/>
    <xf numFmtId="1" fontId="11" fillId="0" borderId="4" xfId="0" applyNumberFormat="1" applyFont="1" applyBorder="1"/>
  </cellXfs>
  <cellStyles count="2">
    <cellStyle name="Обычный" xfId="0" builtinId="0"/>
    <cellStyle name="Процент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5"/>
  <sheetViews>
    <sheetView tabSelected="1" workbookViewId="0">
      <selection activeCell="V35" sqref="V35:V42"/>
    </sheetView>
  </sheetViews>
  <sheetFormatPr defaultRowHeight="15"/>
  <cols>
    <col min="1" max="1" width="8.140625" style="1" customWidth="1"/>
    <col min="2" max="2" width="32.42578125" style="1" customWidth="1"/>
    <col min="3" max="3" width="11.7109375" style="1" customWidth="1"/>
    <col min="4" max="4" width="0.28515625" style="1" hidden="1" customWidth="1"/>
    <col min="5" max="5" width="14" style="1" hidden="1" customWidth="1"/>
    <col min="6" max="6" width="13.85546875" style="1" hidden="1" customWidth="1"/>
    <col min="7" max="7" width="14.5703125" style="1" hidden="1" customWidth="1"/>
    <col min="8" max="8" width="13.140625" style="1" hidden="1" customWidth="1"/>
    <col min="9" max="9" width="13" style="1" hidden="1" customWidth="1"/>
    <col min="10" max="10" width="13.140625" style="1" hidden="1" customWidth="1"/>
    <col min="11" max="11" width="15.85546875" style="1" hidden="1" customWidth="1"/>
    <col min="12" max="12" width="11.85546875" style="1" hidden="1" customWidth="1"/>
    <col min="13" max="14" width="10.5703125" style="1" hidden="1" customWidth="1"/>
    <col min="15" max="15" width="13.7109375" style="1" customWidth="1"/>
    <col min="16" max="17" width="9.85546875" style="1" hidden="1" customWidth="1"/>
    <col min="18" max="18" width="13.5703125" style="1" customWidth="1"/>
    <col min="19" max="19" width="12.42578125" style="1" customWidth="1"/>
    <col min="20" max="20" width="11" style="1" customWidth="1"/>
    <col min="21" max="16384" width="9.140625" style="1"/>
  </cols>
  <sheetData>
    <row r="1" spans="1:20">
      <c r="F1" s="1" t="s">
        <v>0</v>
      </c>
    </row>
    <row r="2" spans="1:20">
      <c r="F2" s="1" t="s">
        <v>1</v>
      </c>
      <c r="N2" s="94"/>
      <c r="O2" s="94"/>
      <c r="P2" s="94"/>
      <c r="Q2" s="94"/>
    </row>
    <row r="4" spans="1:20" ht="28.5" customHeight="1">
      <c r="A4" s="98" t="s">
        <v>150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</row>
    <row r="6" spans="1:20" ht="26.25">
      <c r="A6" s="85" t="s">
        <v>124</v>
      </c>
      <c r="B6" s="84" t="s">
        <v>123</v>
      </c>
      <c r="C6" s="83" t="s">
        <v>122</v>
      </c>
      <c r="D6" s="52" t="s">
        <v>2</v>
      </c>
      <c r="E6" s="77" t="s">
        <v>2</v>
      </c>
      <c r="F6" s="78" t="s">
        <v>3</v>
      </c>
      <c r="G6" s="79"/>
      <c r="H6" s="79"/>
      <c r="I6" s="79"/>
      <c r="J6" s="79"/>
      <c r="K6" s="79"/>
      <c r="L6" s="95" t="s">
        <v>145</v>
      </c>
      <c r="M6" s="96"/>
      <c r="N6" s="96"/>
      <c r="O6" s="96"/>
      <c r="P6" s="96"/>
      <c r="Q6" s="97"/>
      <c r="R6" s="88" t="s">
        <v>146</v>
      </c>
      <c r="S6" s="88" t="s">
        <v>147</v>
      </c>
      <c r="T6" s="88" t="s">
        <v>148</v>
      </c>
    </row>
    <row r="7" spans="1:20">
      <c r="A7" s="40">
        <v>1</v>
      </c>
      <c r="B7" s="15">
        <v>2</v>
      </c>
      <c r="C7" s="15">
        <v>3</v>
      </c>
      <c r="D7" s="15">
        <v>5</v>
      </c>
      <c r="E7" s="15">
        <v>6</v>
      </c>
      <c r="F7" s="16">
        <v>7</v>
      </c>
      <c r="G7" s="80">
        <v>8</v>
      </c>
      <c r="H7" s="80">
        <v>9</v>
      </c>
      <c r="I7" s="80">
        <v>10</v>
      </c>
      <c r="J7" s="80">
        <v>11</v>
      </c>
      <c r="K7" s="81">
        <v>12</v>
      </c>
      <c r="L7" s="80">
        <v>4</v>
      </c>
      <c r="M7" s="80">
        <v>5</v>
      </c>
      <c r="N7" s="80">
        <v>6</v>
      </c>
      <c r="O7" s="80">
        <v>4</v>
      </c>
      <c r="P7" s="80">
        <v>8</v>
      </c>
      <c r="Q7" s="80">
        <v>9</v>
      </c>
      <c r="R7" s="87">
        <v>5</v>
      </c>
      <c r="S7" s="87">
        <v>6</v>
      </c>
      <c r="T7" s="87">
        <v>7</v>
      </c>
    </row>
    <row r="8" spans="1:20" ht="26.25">
      <c r="A8" s="7">
        <v>1</v>
      </c>
      <c r="B8" s="72" t="s">
        <v>118</v>
      </c>
      <c r="C8" s="30"/>
      <c r="D8" s="32">
        <v>22622.929999999997</v>
      </c>
      <c r="E8" s="32">
        <v>23598.37</v>
      </c>
      <c r="F8" s="32">
        <v>210530.84</v>
      </c>
      <c r="G8" s="32">
        <v>37809.270000000004</v>
      </c>
      <c r="H8" s="32">
        <v>39747.000000000007</v>
      </c>
      <c r="I8" s="32">
        <v>41839.180000000008</v>
      </c>
      <c r="J8" s="32">
        <v>44237.380000000005</v>
      </c>
      <c r="K8" s="33">
        <v>46935.21</v>
      </c>
      <c r="L8" s="67">
        <f>M8+N8+O8+P8+Q8</f>
        <v>158317.28791217518</v>
      </c>
      <c r="M8" s="67">
        <f>M9+M17+M22+M26+M28</f>
        <v>29546.019560880002</v>
      </c>
      <c r="N8" s="67">
        <f t="shared" ref="N8:Q8" si="0">N9+N17+N22+N26+N28</f>
        <v>30562.462734532804</v>
      </c>
      <c r="O8" s="89">
        <f t="shared" si="0"/>
        <v>31970.652060399996</v>
      </c>
      <c r="P8" s="89">
        <f t="shared" si="0"/>
        <v>32767.506431705599</v>
      </c>
      <c r="Q8" s="89">
        <f t="shared" si="0"/>
        <v>33470.647124656767</v>
      </c>
      <c r="R8" s="89">
        <f t="shared" ref="R8" si="1">R9+R17+R22+R26+R28</f>
        <v>33084.050000000003</v>
      </c>
      <c r="S8" s="90">
        <f>R8-O8</f>
        <v>1113.3979396000068</v>
      </c>
      <c r="T8" s="90">
        <f>S8/O8*100</f>
        <v>3.4825624998093225</v>
      </c>
    </row>
    <row r="9" spans="1:20">
      <c r="A9" s="8">
        <v>1</v>
      </c>
      <c r="B9" s="34" t="s">
        <v>5</v>
      </c>
      <c r="C9" s="15" t="s">
        <v>4</v>
      </c>
      <c r="D9" s="15">
        <v>3956.19</v>
      </c>
      <c r="E9" s="15">
        <v>4149.3600000000006</v>
      </c>
      <c r="F9" s="15">
        <v>42736.55</v>
      </c>
      <c r="G9" s="15">
        <v>7464.07</v>
      </c>
      <c r="H9" s="15">
        <v>7978.42</v>
      </c>
      <c r="I9" s="15">
        <v>8520.8300000000017</v>
      </c>
      <c r="J9" s="15">
        <v>9081.93</v>
      </c>
      <c r="K9" s="35">
        <v>9691.3000000000011</v>
      </c>
      <c r="L9" s="66">
        <f t="shared" ref="L9:L63" si="2">M9+N9+O9+P9+Q9</f>
        <v>22080.712050972481</v>
      </c>
      <c r="M9" s="67">
        <f>M11+M12+M13+M14+M15+M16</f>
        <v>4275.7208000000001</v>
      </c>
      <c r="N9" s="67">
        <f t="shared" ref="N9:Q9" si="3">N11+N12+N13+N14+N15+N16</f>
        <v>4430.9600480000008</v>
      </c>
      <c r="O9" s="89">
        <f t="shared" si="3"/>
        <v>4359.0194403999994</v>
      </c>
      <c r="P9" s="89">
        <f t="shared" si="3"/>
        <v>4465.844218016</v>
      </c>
      <c r="Q9" s="89">
        <f t="shared" si="3"/>
        <v>4549.1675445564797</v>
      </c>
      <c r="R9" s="89">
        <f t="shared" ref="R9" si="4">R11+R12+R13+R14+R15+R16</f>
        <v>4698.92</v>
      </c>
      <c r="S9" s="90">
        <f t="shared" ref="S9:S72" si="5">R9-O9</f>
        <v>339.90055960000063</v>
      </c>
      <c r="T9" s="90">
        <f t="shared" ref="T9:T72" si="6">S9/O9*100</f>
        <v>7.7976380754294166</v>
      </c>
    </row>
    <row r="10" spans="1:20">
      <c r="A10" s="9"/>
      <c r="B10" s="36" t="s">
        <v>6</v>
      </c>
      <c r="C10" s="27"/>
      <c r="D10" s="27"/>
      <c r="E10" s="27"/>
      <c r="F10" s="27"/>
      <c r="G10" s="17"/>
      <c r="H10" s="17"/>
      <c r="I10" s="17"/>
      <c r="J10" s="17"/>
      <c r="K10" s="29"/>
      <c r="L10" s="66">
        <f t="shared" si="2"/>
        <v>0</v>
      </c>
      <c r="M10" s="17"/>
      <c r="N10" s="17"/>
      <c r="O10" s="91"/>
      <c r="P10" s="91"/>
      <c r="Q10" s="91"/>
      <c r="R10" s="91"/>
      <c r="S10" s="90"/>
      <c r="T10" s="90"/>
    </row>
    <row r="11" spans="1:20">
      <c r="A11" s="9" t="s">
        <v>7</v>
      </c>
      <c r="B11" s="36" t="s">
        <v>8</v>
      </c>
      <c r="C11" s="27" t="s">
        <v>4</v>
      </c>
      <c r="D11" s="27">
        <v>1401.55</v>
      </c>
      <c r="E11" s="27">
        <v>1669.3</v>
      </c>
      <c r="F11" s="27">
        <v>20052.400000000001</v>
      </c>
      <c r="G11" s="17">
        <v>3463.7</v>
      </c>
      <c r="H11" s="17">
        <v>3716.3</v>
      </c>
      <c r="I11" s="17">
        <v>3998.9</v>
      </c>
      <c r="J11" s="17">
        <v>4284</v>
      </c>
      <c r="K11" s="29">
        <v>4589.5</v>
      </c>
      <c r="L11" s="66">
        <f t="shared" si="2"/>
        <v>8741.9369200000001</v>
      </c>
      <c r="M11" s="66">
        <v>1611.07</v>
      </c>
      <c r="N11" s="66">
        <f>M11*1.06</f>
        <v>1707.7342000000001</v>
      </c>
      <c r="O11" s="91">
        <v>1743.1</v>
      </c>
      <c r="P11" s="91">
        <f>O11*1.04</f>
        <v>1812.8240000000001</v>
      </c>
      <c r="Q11" s="91">
        <f>P11*1.03</f>
        <v>1867.2087200000001</v>
      </c>
      <c r="R11" s="91">
        <v>1752.5</v>
      </c>
      <c r="S11" s="90">
        <f t="shared" si="5"/>
        <v>9.4000000000000909</v>
      </c>
      <c r="T11" s="90">
        <f t="shared" si="6"/>
        <v>0.53926911823762791</v>
      </c>
    </row>
    <row r="12" spans="1:20">
      <c r="A12" s="9" t="s">
        <v>9</v>
      </c>
      <c r="B12" s="36" t="s">
        <v>10</v>
      </c>
      <c r="C12" s="27" t="s">
        <v>4</v>
      </c>
      <c r="D12" s="27"/>
      <c r="E12" s="27"/>
      <c r="F12" s="27"/>
      <c r="G12" s="17"/>
      <c r="H12" s="17"/>
      <c r="I12" s="17"/>
      <c r="J12" s="17"/>
      <c r="K12" s="29"/>
      <c r="L12" s="66">
        <f t="shared" si="2"/>
        <v>0</v>
      </c>
      <c r="M12" s="17"/>
      <c r="N12" s="17"/>
      <c r="O12" s="91"/>
      <c r="P12" s="91"/>
      <c r="Q12" s="91"/>
      <c r="R12" s="91"/>
      <c r="S12" s="90"/>
      <c r="T12" s="90"/>
    </row>
    <row r="13" spans="1:20">
      <c r="A13" s="9" t="s">
        <v>11</v>
      </c>
      <c r="B13" s="37" t="s">
        <v>12</v>
      </c>
      <c r="C13" s="27" t="s">
        <v>4</v>
      </c>
      <c r="D13" s="27">
        <v>932.03</v>
      </c>
      <c r="E13" s="27">
        <v>786.18</v>
      </c>
      <c r="F13" s="27">
        <v>11594.400000000001</v>
      </c>
      <c r="G13" s="17">
        <v>2016.2</v>
      </c>
      <c r="H13" s="17">
        <v>2157.1999999999998</v>
      </c>
      <c r="I13" s="17">
        <v>2308.3000000000002</v>
      </c>
      <c r="J13" s="17">
        <v>2469.9</v>
      </c>
      <c r="K13" s="29">
        <v>2642.8</v>
      </c>
      <c r="L13" s="66">
        <f t="shared" si="2"/>
        <v>4602.4011309724801</v>
      </c>
      <c r="M13" s="66">
        <f>E13*1.06</f>
        <v>833.35079999999994</v>
      </c>
      <c r="N13" s="66">
        <f>M13*1.06</f>
        <v>883.35184800000002</v>
      </c>
      <c r="O13" s="91">
        <f>N13*1.05</f>
        <v>927.51944040000001</v>
      </c>
      <c r="P13" s="91">
        <f>O13*1.04</f>
        <v>964.62021801600008</v>
      </c>
      <c r="Q13" s="91">
        <f>P13*1.03</f>
        <v>993.55882455648009</v>
      </c>
      <c r="R13" s="91">
        <v>927.52</v>
      </c>
      <c r="S13" s="90">
        <f t="shared" si="5"/>
        <v>5.5959999997412524E-4</v>
      </c>
      <c r="T13" s="90">
        <f t="shared" si="6"/>
        <v>6.0332967224147167E-5</v>
      </c>
    </row>
    <row r="14" spans="1:20">
      <c r="A14" s="10" t="s">
        <v>13</v>
      </c>
      <c r="B14" s="37" t="s">
        <v>14</v>
      </c>
      <c r="C14" s="27" t="s">
        <v>4</v>
      </c>
      <c r="D14" s="27">
        <v>149.32</v>
      </c>
      <c r="E14" s="27">
        <v>139.78</v>
      </c>
      <c r="F14" s="27">
        <v>931.62000000000012</v>
      </c>
      <c r="G14" s="17">
        <v>162</v>
      </c>
      <c r="H14" s="17">
        <v>173.34</v>
      </c>
      <c r="I14" s="17">
        <v>185.47</v>
      </c>
      <c r="J14" s="17">
        <v>198.46</v>
      </c>
      <c r="K14" s="29">
        <v>212.35</v>
      </c>
      <c r="L14" s="66">
        <f t="shared" si="2"/>
        <v>294.37400000000002</v>
      </c>
      <c r="M14" s="66">
        <v>142.9</v>
      </c>
      <c r="N14" s="66">
        <f>M14*1.06</f>
        <v>151.47400000000002</v>
      </c>
      <c r="O14" s="91"/>
      <c r="P14" s="91"/>
      <c r="Q14" s="91"/>
      <c r="R14" s="91"/>
      <c r="S14" s="90"/>
      <c r="T14" s="90"/>
    </row>
    <row r="15" spans="1:20">
      <c r="A15" s="9" t="s">
        <v>15</v>
      </c>
      <c r="B15" s="37" t="s">
        <v>16</v>
      </c>
      <c r="C15" s="27" t="s">
        <v>4</v>
      </c>
      <c r="D15" s="27">
        <v>1473.29</v>
      </c>
      <c r="E15" s="27">
        <v>1554.1</v>
      </c>
      <c r="F15" s="27">
        <v>10158.129999999999</v>
      </c>
      <c r="G15" s="17">
        <v>1822.17</v>
      </c>
      <c r="H15" s="17">
        <v>1931.58</v>
      </c>
      <c r="I15" s="17">
        <v>2028.16</v>
      </c>
      <c r="J15" s="17">
        <v>2129.5700000000002</v>
      </c>
      <c r="K15" s="29">
        <v>2246.65</v>
      </c>
      <c r="L15" s="66">
        <f t="shared" si="2"/>
        <v>8442</v>
      </c>
      <c r="M15" s="17">
        <v>1688.4</v>
      </c>
      <c r="N15" s="17">
        <v>1688.4</v>
      </c>
      <c r="O15" s="91">
        <v>1688.4</v>
      </c>
      <c r="P15" s="91">
        <v>1688.4</v>
      </c>
      <c r="Q15" s="91">
        <v>1688.4</v>
      </c>
      <c r="R15" s="91">
        <v>2018.9</v>
      </c>
      <c r="S15" s="90">
        <f t="shared" si="5"/>
        <v>330.5</v>
      </c>
      <c r="T15" s="90">
        <f t="shared" si="6"/>
        <v>19.574745321013975</v>
      </c>
    </row>
    <row r="16" spans="1:20" hidden="1">
      <c r="A16" s="9" t="s">
        <v>17</v>
      </c>
      <c r="B16" s="37" t="s">
        <v>18</v>
      </c>
      <c r="C16" s="27" t="s">
        <v>4</v>
      </c>
      <c r="D16" s="27"/>
      <c r="E16" s="27"/>
      <c r="F16" s="27"/>
      <c r="G16" s="17"/>
      <c r="H16" s="17"/>
      <c r="I16" s="17"/>
      <c r="J16" s="17"/>
      <c r="K16" s="29"/>
      <c r="L16" s="66"/>
      <c r="M16" s="17"/>
      <c r="N16" s="17"/>
      <c r="O16" s="91"/>
      <c r="P16" s="91"/>
      <c r="Q16" s="91"/>
      <c r="R16" s="91"/>
      <c r="S16" s="90">
        <f t="shared" si="5"/>
        <v>0</v>
      </c>
      <c r="T16" s="90" t="e">
        <f t="shared" si="6"/>
        <v>#DIV/0!</v>
      </c>
    </row>
    <row r="17" spans="1:20">
      <c r="A17" s="8">
        <v>2</v>
      </c>
      <c r="B17" s="38" t="s">
        <v>19</v>
      </c>
      <c r="C17" s="15" t="s">
        <v>4</v>
      </c>
      <c r="D17" s="15">
        <v>17783.039999999997</v>
      </c>
      <c r="E17" s="15">
        <v>18666.379999999997</v>
      </c>
      <c r="F17" s="15">
        <v>147443</v>
      </c>
      <c r="G17" s="15">
        <v>25639</v>
      </c>
      <c r="H17" s="15">
        <v>27433.7</v>
      </c>
      <c r="I17" s="15">
        <v>29354.100000000002</v>
      </c>
      <c r="J17" s="15">
        <v>31408.800000000003</v>
      </c>
      <c r="K17" s="35">
        <v>33607.4</v>
      </c>
      <c r="L17" s="67">
        <f t="shared" si="2"/>
        <v>116169.20946985869</v>
      </c>
      <c r="M17" s="67">
        <f>M19+M20</f>
        <v>20616.658760880004</v>
      </c>
      <c r="N17" s="67">
        <f t="shared" ref="N17:Q17" si="7">N19+N20</f>
        <v>21853.658286532802</v>
      </c>
      <c r="O17" s="89">
        <f>SUM(O19:O21)</f>
        <v>23710.179999999997</v>
      </c>
      <c r="P17" s="89">
        <f t="shared" si="7"/>
        <v>24624.9814888896</v>
      </c>
      <c r="Q17" s="89">
        <f t="shared" si="7"/>
        <v>25363.73093355629</v>
      </c>
      <c r="R17" s="89">
        <f>SUM(R19:R21)</f>
        <v>24326.829999999998</v>
      </c>
      <c r="S17" s="90">
        <f t="shared" si="5"/>
        <v>616.65000000000146</v>
      </c>
      <c r="T17" s="90">
        <f t="shared" si="6"/>
        <v>2.6007816052008104</v>
      </c>
    </row>
    <row r="18" spans="1:20">
      <c r="A18" s="9"/>
      <c r="B18" s="37" t="s">
        <v>6</v>
      </c>
      <c r="C18" s="27"/>
      <c r="D18" s="27"/>
      <c r="E18" s="27"/>
      <c r="F18" s="27"/>
      <c r="G18" s="17"/>
      <c r="H18" s="17"/>
      <c r="I18" s="17"/>
      <c r="J18" s="17"/>
      <c r="K18" s="29"/>
      <c r="L18" s="67"/>
      <c r="M18" s="17"/>
      <c r="N18" s="17"/>
      <c r="O18" s="91"/>
      <c r="P18" s="91"/>
      <c r="Q18" s="91"/>
      <c r="R18" s="91"/>
      <c r="S18" s="90"/>
      <c r="T18" s="90"/>
    </row>
    <row r="19" spans="1:20">
      <c r="A19" s="9" t="s">
        <v>20</v>
      </c>
      <c r="B19" s="37" t="s">
        <v>21</v>
      </c>
      <c r="C19" s="27" t="s">
        <v>4</v>
      </c>
      <c r="D19" s="27">
        <v>16785.599999999999</v>
      </c>
      <c r="E19" s="27">
        <v>17532.3</v>
      </c>
      <c r="F19" s="27">
        <v>138791.70000000001</v>
      </c>
      <c r="G19" s="17">
        <v>24134.6</v>
      </c>
      <c r="H19" s="17">
        <v>25824</v>
      </c>
      <c r="I19" s="17">
        <v>27631.7</v>
      </c>
      <c r="J19" s="17">
        <v>29565.9</v>
      </c>
      <c r="K19" s="29">
        <v>31635.5</v>
      </c>
      <c r="L19" s="66">
        <f t="shared" si="2"/>
        <v>105675.065104512</v>
      </c>
      <c r="M19" s="66">
        <f>M88*M91*12/1000</f>
        <v>18759.471120000002</v>
      </c>
      <c r="N19" s="66">
        <f>N88*N91*12/1000</f>
        <v>19885.039387200002</v>
      </c>
      <c r="O19" s="91">
        <v>21544.92</v>
      </c>
      <c r="P19" s="91">
        <f>P88*P91*12/1000</f>
        <v>22406.7165504</v>
      </c>
      <c r="Q19" s="91">
        <f>Q88*Q91*12/1000</f>
        <v>23078.918046912</v>
      </c>
      <c r="R19" s="91">
        <v>22097.119999999999</v>
      </c>
      <c r="S19" s="90">
        <f t="shared" si="5"/>
        <v>552.20000000000073</v>
      </c>
      <c r="T19" s="90">
        <f t="shared" si="6"/>
        <v>2.563017175278445</v>
      </c>
    </row>
    <row r="20" spans="1:20">
      <c r="A20" s="9" t="s">
        <v>22</v>
      </c>
      <c r="B20" s="37" t="s">
        <v>23</v>
      </c>
      <c r="C20" s="27" t="s">
        <v>4</v>
      </c>
      <c r="D20" s="27">
        <v>997.44</v>
      </c>
      <c r="E20" s="27">
        <v>1134.08</v>
      </c>
      <c r="F20" s="27">
        <v>8651.2999999999993</v>
      </c>
      <c r="G20" s="17">
        <v>1504.4</v>
      </c>
      <c r="H20" s="17">
        <v>1609.7</v>
      </c>
      <c r="I20" s="17">
        <v>1722.4</v>
      </c>
      <c r="J20" s="17">
        <v>1842.9</v>
      </c>
      <c r="K20" s="29">
        <v>1971.9</v>
      </c>
      <c r="L20" s="66">
        <f t="shared" si="2"/>
        <v>10170.974365346689</v>
      </c>
      <c r="M20" s="66">
        <f>M19*0.9*0.11</f>
        <v>1857.1876408800003</v>
      </c>
      <c r="N20" s="66">
        <f t="shared" ref="N20:Q20" si="8">N19*0.9*0.11</f>
        <v>1968.6188993328001</v>
      </c>
      <c r="O20" s="91">
        <v>1842.09</v>
      </c>
      <c r="P20" s="91">
        <f t="shared" si="8"/>
        <v>2218.2649384896004</v>
      </c>
      <c r="Q20" s="91">
        <f t="shared" si="8"/>
        <v>2284.812886644288</v>
      </c>
      <c r="R20" s="91">
        <v>1904.37</v>
      </c>
      <c r="S20" s="90">
        <f t="shared" si="5"/>
        <v>62.279999999999973</v>
      </c>
      <c r="T20" s="90">
        <f t="shared" si="6"/>
        <v>3.3809422992361919</v>
      </c>
    </row>
    <row r="21" spans="1:20">
      <c r="A21" s="9"/>
      <c r="B21" s="37" t="s">
        <v>143</v>
      </c>
      <c r="C21" s="27" t="s">
        <v>4</v>
      </c>
      <c r="D21" s="27"/>
      <c r="E21" s="27"/>
      <c r="F21" s="27"/>
      <c r="G21" s="17"/>
      <c r="H21" s="17"/>
      <c r="I21" s="17"/>
      <c r="J21" s="17"/>
      <c r="K21" s="29"/>
      <c r="L21" s="66"/>
      <c r="M21" s="66"/>
      <c r="N21" s="66"/>
      <c r="O21" s="91">
        <v>323.17</v>
      </c>
      <c r="P21" s="91"/>
      <c r="Q21" s="91"/>
      <c r="R21" s="91">
        <v>325.33999999999997</v>
      </c>
      <c r="S21" s="90">
        <f t="shared" si="5"/>
        <v>2.1699999999999591</v>
      </c>
      <c r="T21" s="90">
        <f t="shared" si="6"/>
        <v>0.67147321842991581</v>
      </c>
    </row>
    <row r="22" spans="1:20">
      <c r="A22" s="8">
        <v>3</v>
      </c>
      <c r="B22" s="38" t="s">
        <v>24</v>
      </c>
      <c r="C22" s="15" t="s">
        <v>4</v>
      </c>
      <c r="D22" s="15">
        <v>676.2</v>
      </c>
      <c r="E22" s="15">
        <v>676.2</v>
      </c>
      <c r="F22" s="39">
        <v>19604.89</v>
      </c>
      <c r="G22" s="40">
        <v>4569.8999999999996</v>
      </c>
      <c r="H22" s="40">
        <v>4189.08</v>
      </c>
      <c r="I22" s="40">
        <v>3808.25</v>
      </c>
      <c r="J22" s="40">
        <v>3579.75</v>
      </c>
      <c r="K22" s="41">
        <v>3457.91</v>
      </c>
      <c r="L22" s="67">
        <f t="shared" si="2"/>
        <v>19604.89</v>
      </c>
      <c r="M22" s="40">
        <v>4569.8999999999996</v>
      </c>
      <c r="N22" s="40">
        <v>4189.08</v>
      </c>
      <c r="O22" s="89">
        <v>3808.25</v>
      </c>
      <c r="P22" s="89">
        <v>3579.75</v>
      </c>
      <c r="Q22" s="89">
        <v>3457.91</v>
      </c>
      <c r="R22" s="89">
        <v>3910.3</v>
      </c>
      <c r="S22" s="90">
        <f t="shared" si="5"/>
        <v>102.05000000000018</v>
      </c>
      <c r="T22" s="90">
        <f t="shared" si="6"/>
        <v>2.6797085275389003</v>
      </c>
    </row>
    <row r="23" spans="1:20">
      <c r="A23" s="8">
        <v>4</v>
      </c>
      <c r="B23" s="38" t="s">
        <v>25</v>
      </c>
      <c r="C23" s="27" t="s">
        <v>4</v>
      </c>
      <c r="D23" s="27"/>
      <c r="E23" s="27"/>
      <c r="F23" s="27"/>
      <c r="G23" s="17"/>
      <c r="H23" s="17"/>
      <c r="I23" s="17"/>
      <c r="J23" s="17"/>
      <c r="K23" s="29"/>
      <c r="L23" s="67"/>
      <c r="M23" s="17"/>
      <c r="N23" s="17"/>
      <c r="O23" s="91"/>
      <c r="P23" s="91"/>
      <c r="Q23" s="91"/>
      <c r="R23" s="91"/>
      <c r="S23" s="90"/>
      <c r="T23" s="90"/>
    </row>
    <row r="24" spans="1:20">
      <c r="A24" s="28"/>
      <c r="B24" s="37" t="s">
        <v>6</v>
      </c>
      <c r="C24" s="27"/>
      <c r="D24" s="27"/>
      <c r="E24" s="27"/>
      <c r="F24" s="27"/>
      <c r="G24" s="17"/>
      <c r="H24" s="17"/>
      <c r="I24" s="17"/>
      <c r="J24" s="17"/>
      <c r="K24" s="29"/>
      <c r="L24" s="67"/>
      <c r="M24" s="17"/>
      <c r="N24" s="17"/>
      <c r="O24" s="91"/>
      <c r="P24" s="91"/>
      <c r="Q24" s="91"/>
      <c r="R24" s="91"/>
      <c r="S24" s="90"/>
      <c r="T24" s="90"/>
    </row>
    <row r="25" spans="1:20" ht="39">
      <c r="A25" s="11" t="s">
        <v>26</v>
      </c>
      <c r="B25" s="70" t="s">
        <v>119</v>
      </c>
      <c r="C25" s="74"/>
      <c r="D25" s="74"/>
      <c r="E25" s="74"/>
      <c r="F25" s="74"/>
      <c r="G25" s="28"/>
      <c r="H25" s="18"/>
      <c r="I25" s="28"/>
      <c r="J25" s="18"/>
      <c r="K25" s="31"/>
      <c r="L25" s="67"/>
      <c r="M25" s="17"/>
      <c r="N25" s="17"/>
      <c r="O25" s="91"/>
      <c r="P25" s="91"/>
      <c r="Q25" s="91"/>
      <c r="R25" s="91"/>
      <c r="S25" s="90"/>
      <c r="T25" s="90"/>
    </row>
    <row r="26" spans="1:20">
      <c r="A26" s="8">
        <v>5</v>
      </c>
      <c r="B26" s="38" t="s">
        <v>27</v>
      </c>
      <c r="C26" s="15" t="s">
        <v>4</v>
      </c>
      <c r="D26" s="15">
        <v>75.239999999999995</v>
      </c>
      <c r="E26" s="15">
        <v>72.87</v>
      </c>
      <c r="F26" s="15">
        <v>746.40000000000009</v>
      </c>
      <c r="G26" s="15">
        <v>129.80000000000001</v>
      </c>
      <c r="H26" s="15">
        <v>138.9</v>
      </c>
      <c r="I26" s="15">
        <v>148.6</v>
      </c>
      <c r="J26" s="15">
        <v>159</v>
      </c>
      <c r="K26" s="35">
        <v>170.1</v>
      </c>
      <c r="L26" s="67">
        <f t="shared" si="2"/>
        <v>426.57841494399997</v>
      </c>
      <c r="M26" s="67">
        <f>M27</f>
        <v>77.239999999999995</v>
      </c>
      <c r="N26" s="67">
        <f t="shared" ref="N26:R26" si="9">N27</f>
        <v>81.874399999999994</v>
      </c>
      <c r="O26" s="89">
        <f t="shared" si="9"/>
        <v>85.968119999999999</v>
      </c>
      <c r="P26" s="89">
        <f t="shared" si="9"/>
        <v>89.406844800000002</v>
      </c>
      <c r="Q26" s="89">
        <f t="shared" si="9"/>
        <v>92.089050143999998</v>
      </c>
      <c r="R26" s="89">
        <f t="shared" si="9"/>
        <v>140.4</v>
      </c>
      <c r="S26" s="90">
        <f t="shared" si="5"/>
        <v>54.431880000000007</v>
      </c>
      <c r="T26" s="90">
        <f t="shared" si="6"/>
        <v>63.316354946461558</v>
      </c>
    </row>
    <row r="27" spans="1:20" ht="26.25">
      <c r="A27" s="9" t="s">
        <v>28</v>
      </c>
      <c r="B27" s="71" t="s">
        <v>29</v>
      </c>
      <c r="C27" s="27"/>
      <c r="D27" s="27">
        <v>75.239999999999995</v>
      </c>
      <c r="E27" s="27">
        <v>72.87</v>
      </c>
      <c r="F27" s="27">
        <v>746.40000000000009</v>
      </c>
      <c r="G27" s="17">
        <v>129.80000000000001</v>
      </c>
      <c r="H27" s="17">
        <v>138.9</v>
      </c>
      <c r="I27" s="17">
        <v>148.6</v>
      </c>
      <c r="J27" s="42">
        <v>159</v>
      </c>
      <c r="K27" s="29">
        <v>170.1</v>
      </c>
      <c r="L27" s="66">
        <f t="shared" si="2"/>
        <v>426.57841494399997</v>
      </c>
      <c r="M27" s="66">
        <v>77.239999999999995</v>
      </c>
      <c r="N27" s="66">
        <f>M27*1.06</f>
        <v>81.874399999999994</v>
      </c>
      <c r="O27" s="91">
        <f>N27*1.05</f>
        <v>85.968119999999999</v>
      </c>
      <c r="P27" s="91">
        <f>O27*1.04</f>
        <v>89.406844800000002</v>
      </c>
      <c r="Q27" s="91">
        <f>P27*1.03</f>
        <v>92.089050143999998</v>
      </c>
      <c r="R27" s="91">
        <v>140.4</v>
      </c>
      <c r="S27" s="90">
        <f t="shared" si="5"/>
        <v>54.431880000000007</v>
      </c>
      <c r="T27" s="90">
        <f t="shared" si="6"/>
        <v>63.316354946461558</v>
      </c>
    </row>
    <row r="28" spans="1:20">
      <c r="A28" s="8">
        <v>6</v>
      </c>
      <c r="B28" s="38" t="s">
        <v>30</v>
      </c>
      <c r="C28" s="15" t="s">
        <v>4</v>
      </c>
      <c r="D28" s="15">
        <v>132.26000000000002</v>
      </c>
      <c r="E28" s="15">
        <v>33.56</v>
      </c>
      <c r="F28" s="15">
        <v>0</v>
      </c>
      <c r="G28" s="15">
        <v>6.5</v>
      </c>
      <c r="H28" s="15">
        <v>6.9</v>
      </c>
      <c r="I28" s="15">
        <v>7.4</v>
      </c>
      <c r="J28" s="15">
        <v>7.9</v>
      </c>
      <c r="K28" s="35">
        <v>8.5</v>
      </c>
      <c r="L28" s="67">
        <f t="shared" si="2"/>
        <v>35.897976400000005</v>
      </c>
      <c r="M28" s="67">
        <v>6.5</v>
      </c>
      <c r="N28" s="67">
        <f>M28*1.06</f>
        <v>6.8900000000000006</v>
      </c>
      <c r="O28" s="89">
        <f>N28*1.05</f>
        <v>7.2345000000000006</v>
      </c>
      <c r="P28" s="89">
        <f>O28*1.04</f>
        <v>7.523880000000001</v>
      </c>
      <c r="Q28" s="89">
        <f>P28*1.03</f>
        <v>7.7495964000000015</v>
      </c>
      <c r="R28" s="89">
        <f>R31</f>
        <v>7.6</v>
      </c>
      <c r="S28" s="90">
        <f t="shared" si="5"/>
        <v>0.36549999999999905</v>
      </c>
      <c r="T28" s="90">
        <f t="shared" si="6"/>
        <v>5.0521805238786239</v>
      </c>
    </row>
    <row r="29" spans="1:20" hidden="1">
      <c r="A29" s="9" t="s">
        <v>31</v>
      </c>
      <c r="B29" s="37" t="s">
        <v>33</v>
      </c>
      <c r="C29" s="27"/>
      <c r="D29" s="27">
        <v>28.7</v>
      </c>
      <c r="E29" s="27"/>
      <c r="F29" s="27"/>
      <c r="G29" s="17"/>
      <c r="H29" s="17"/>
      <c r="I29" s="17"/>
      <c r="J29" s="17"/>
      <c r="K29" s="29"/>
      <c r="L29" s="67"/>
      <c r="M29" s="17"/>
      <c r="N29" s="17"/>
      <c r="O29" s="91"/>
      <c r="P29" s="91"/>
      <c r="Q29" s="91"/>
      <c r="R29" s="91"/>
      <c r="S29" s="90">
        <f t="shared" si="5"/>
        <v>0</v>
      </c>
      <c r="T29" s="90" t="e">
        <f t="shared" si="6"/>
        <v>#DIV/0!</v>
      </c>
    </row>
    <row r="30" spans="1:20" hidden="1">
      <c r="A30" s="9" t="s">
        <v>32</v>
      </c>
      <c r="B30" s="37" t="s">
        <v>34</v>
      </c>
      <c r="C30" s="27"/>
      <c r="D30" s="27">
        <v>0</v>
      </c>
      <c r="E30" s="27"/>
      <c r="F30" s="27"/>
      <c r="G30" s="17"/>
      <c r="H30" s="17"/>
      <c r="I30" s="17"/>
      <c r="J30" s="17"/>
      <c r="K30" s="29"/>
      <c r="L30" s="67"/>
      <c r="M30" s="17"/>
      <c r="N30" s="17"/>
      <c r="O30" s="91"/>
      <c r="P30" s="91"/>
      <c r="Q30" s="91"/>
      <c r="R30" s="91"/>
      <c r="S30" s="90">
        <f t="shared" si="5"/>
        <v>0</v>
      </c>
      <c r="T30" s="90" t="e">
        <f t="shared" si="6"/>
        <v>#DIV/0!</v>
      </c>
    </row>
    <row r="31" spans="1:20">
      <c r="A31" s="9" t="s">
        <v>31</v>
      </c>
      <c r="B31" s="37" t="s">
        <v>36</v>
      </c>
      <c r="C31" s="27"/>
      <c r="D31" s="27">
        <v>33.56</v>
      </c>
      <c r="E31" s="27">
        <v>33.56</v>
      </c>
      <c r="F31" s="27"/>
      <c r="G31" s="17">
        <v>6.5</v>
      </c>
      <c r="H31" s="17">
        <v>6.9</v>
      </c>
      <c r="I31" s="17">
        <v>7.4</v>
      </c>
      <c r="J31" s="17">
        <v>7.9</v>
      </c>
      <c r="K31" s="29">
        <v>8.5</v>
      </c>
      <c r="L31" s="67">
        <f t="shared" si="2"/>
        <v>35.897976400000005</v>
      </c>
      <c r="M31" s="66">
        <v>6.5</v>
      </c>
      <c r="N31" s="66">
        <f>M31*1.06</f>
        <v>6.8900000000000006</v>
      </c>
      <c r="O31" s="91">
        <f>N31*1.05</f>
        <v>7.2345000000000006</v>
      </c>
      <c r="P31" s="91">
        <f>O31*1.04</f>
        <v>7.523880000000001</v>
      </c>
      <c r="Q31" s="91">
        <f>P31*1.03</f>
        <v>7.7495964000000015</v>
      </c>
      <c r="R31" s="91">
        <v>7.6</v>
      </c>
      <c r="S31" s="90">
        <f t="shared" si="5"/>
        <v>0.36549999999999905</v>
      </c>
      <c r="T31" s="90">
        <f t="shared" si="6"/>
        <v>5.0521805238786239</v>
      </c>
    </row>
    <row r="32" spans="1:20" hidden="1">
      <c r="A32" s="9" t="s">
        <v>35</v>
      </c>
      <c r="B32" s="37" t="s">
        <v>104</v>
      </c>
      <c r="C32" s="27"/>
      <c r="D32" s="27">
        <v>52.1</v>
      </c>
      <c r="E32" s="27"/>
      <c r="F32" s="27"/>
      <c r="G32" s="17"/>
      <c r="H32" s="17"/>
      <c r="I32" s="17"/>
      <c r="J32" s="17"/>
      <c r="K32" s="29"/>
      <c r="L32" s="67"/>
      <c r="M32" s="17"/>
      <c r="N32" s="17"/>
      <c r="O32" s="91"/>
      <c r="P32" s="91"/>
      <c r="Q32" s="91"/>
      <c r="R32" s="91"/>
      <c r="S32" s="90">
        <f t="shared" si="5"/>
        <v>0</v>
      </c>
      <c r="T32" s="90" t="e">
        <f t="shared" si="6"/>
        <v>#DIV/0!</v>
      </c>
    </row>
    <row r="33" spans="1:22" hidden="1">
      <c r="A33" s="9" t="s">
        <v>37</v>
      </c>
      <c r="B33" s="37" t="s">
        <v>105</v>
      </c>
      <c r="C33" s="27"/>
      <c r="D33" s="27">
        <v>17.899999999999999</v>
      </c>
      <c r="E33" s="27"/>
      <c r="F33" s="27"/>
      <c r="G33" s="17"/>
      <c r="H33" s="17"/>
      <c r="I33" s="17"/>
      <c r="J33" s="17"/>
      <c r="K33" s="29"/>
      <c r="L33" s="67"/>
      <c r="M33" s="17"/>
      <c r="N33" s="17"/>
      <c r="O33" s="91"/>
      <c r="P33" s="91"/>
      <c r="Q33" s="91"/>
      <c r="R33" s="91"/>
      <c r="S33" s="90">
        <f t="shared" si="5"/>
        <v>0</v>
      </c>
      <c r="T33" s="90" t="e">
        <f t="shared" si="6"/>
        <v>#DIV/0!</v>
      </c>
    </row>
    <row r="34" spans="1:22">
      <c r="A34" s="9" t="s">
        <v>38</v>
      </c>
      <c r="B34" s="43" t="s">
        <v>39</v>
      </c>
      <c r="C34" s="15" t="s">
        <v>4</v>
      </c>
      <c r="D34" s="15">
        <v>5107.6000000000004</v>
      </c>
      <c r="E34" s="15">
        <v>4449.1399999999994</v>
      </c>
      <c r="F34" s="15">
        <v>36126.839999999997</v>
      </c>
      <c r="G34" s="15">
        <v>6344.84</v>
      </c>
      <c r="H34" s="15">
        <v>6756.6</v>
      </c>
      <c r="I34" s="15">
        <v>7195.8</v>
      </c>
      <c r="J34" s="15">
        <v>7664.2999999999993</v>
      </c>
      <c r="K34" s="35">
        <v>8165.2999999999993</v>
      </c>
      <c r="L34" s="67">
        <f t="shared" si="2"/>
        <v>24791.726847408707</v>
      </c>
      <c r="M34" s="67">
        <f>M37+M38+M40+M41+M44+M45+M46+M51+M57+M58+M59+M60+M61+M65</f>
        <v>4802.6582479999997</v>
      </c>
      <c r="N34" s="67">
        <f t="shared" ref="N34:Q34" si="10">N37+N38+N40+N41+N44+N45+N46+N51+N57+N58+N59+N60+N61+N65</f>
        <v>5090.81774288</v>
      </c>
      <c r="O34" s="89">
        <f>O35</f>
        <v>4790.5951099999993</v>
      </c>
      <c r="P34" s="89">
        <f t="shared" si="10"/>
        <v>4979.1407618368012</v>
      </c>
      <c r="Q34" s="89">
        <f t="shared" si="10"/>
        <v>5128.5149846919048</v>
      </c>
      <c r="R34" s="89">
        <f>R35</f>
        <v>5208.07</v>
      </c>
      <c r="S34" s="90">
        <f t="shared" si="5"/>
        <v>417.47489000000041</v>
      </c>
      <c r="T34" s="90">
        <f t="shared" si="6"/>
        <v>8.7144682531937132</v>
      </c>
    </row>
    <row r="35" spans="1:22" ht="26.25">
      <c r="A35" s="9">
        <v>7</v>
      </c>
      <c r="B35" s="68" t="s">
        <v>40</v>
      </c>
      <c r="C35" s="27" t="s">
        <v>4</v>
      </c>
      <c r="D35" s="27">
        <v>5107.6000000000004</v>
      </c>
      <c r="E35" s="27">
        <v>4449.1399999999994</v>
      </c>
      <c r="F35" s="27">
        <v>36126.839999999997</v>
      </c>
      <c r="G35" s="27">
        <v>6344.84</v>
      </c>
      <c r="H35" s="27">
        <v>6756.6</v>
      </c>
      <c r="I35" s="27">
        <v>7195.8</v>
      </c>
      <c r="J35" s="27">
        <v>7664.2999999999993</v>
      </c>
      <c r="K35" s="45">
        <v>8165.2999999999993</v>
      </c>
      <c r="L35" s="66">
        <f t="shared" si="2"/>
        <v>24791.726847408707</v>
      </c>
      <c r="M35" s="66">
        <f>M37+M38+M40+M41+M42+M57+M58+M59+M60+M61+M63</f>
        <v>4802.6582479999997</v>
      </c>
      <c r="N35" s="66">
        <f t="shared" ref="N35:Q35" si="11">N37+N38+N40+N41+N42+N57+N58+N59+N60+N61+N63</f>
        <v>5090.8177428800009</v>
      </c>
      <c r="O35" s="91">
        <f>O37+O38+O40+O41+O42+O57+O58+O59+O60+O61+O63+O39</f>
        <v>4790.5951099999993</v>
      </c>
      <c r="P35" s="91">
        <f t="shared" si="11"/>
        <v>4979.1407618368012</v>
      </c>
      <c r="Q35" s="91">
        <f t="shared" si="11"/>
        <v>5128.5149846919048</v>
      </c>
      <c r="R35" s="91">
        <f>R37+R38+R40+R41+R42+R57+R58+R59+R60+R61+R63+R39</f>
        <v>5208.07</v>
      </c>
      <c r="S35" s="90">
        <f t="shared" si="5"/>
        <v>417.47489000000041</v>
      </c>
      <c r="T35" s="90">
        <f t="shared" si="6"/>
        <v>8.7144682531937132</v>
      </c>
    </row>
    <row r="36" spans="1:22">
      <c r="A36" s="28"/>
      <c r="B36" s="44" t="s">
        <v>6</v>
      </c>
      <c r="C36" s="27"/>
      <c r="D36" s="27"/>
      <c r="E36" s="27"/>
      <c r="F36" s="27"/>
      <c r="G36" s="17"/>
      <c r="H36" s="17"/>
      <c r="I36" s="17"/>
      <c r="J36" s="17"/>
      <c r="K36" s="29"/>
      <c r="L36" s="67"/>
      <c r="M36" s="17"/>
      <c r="N36" s="17"/>
      <c r="O36" s="91"/>
      <c r="P36" s="91"/>
      <c r="Q36" s="91"/>
      <c r="R36" s="91"/>
      <c r="S36" s="90"/>
      <c r="T36" s="90"/>
    </row>
    <row r="37" spans="1:22" ht="26.25">
      <c r="A37" s="9" t="s">
        <v>125</v>
      </c>
      <c r="B37" s="68" t="s">
        <v>41</v>
      </c>
      <c r="C37" s="27" t="s">
        <v>4</v>
      </c>
      <c r="D37" s="27">
        <v>1642.81</v>
      </c>
      <c r="E37" s="27">
        <v>2239.6999999999998</v>
      </c>
      <c r="F37" s="27">
        <v>14484.9</v>
      </c>
      <c r="G37" s="17">
        <v>2518.8000000000002</v>
      </c>
      <c r="H37" s="17">
        <v>2695.1</v>
      </c>
      <c r="I37" s="17">
        <v>2883.8</v>
      </c>
      <c r="J37" s="17">
        <v>3085.6</v>
      </c>
      <c r="K37" s="29">
        <v>3301.6</v>
      </c>
      <c r="L37" s="66">
        <f t="shared" si="2"/>
        <v>9685.1946088959994</v>
      </c>
      <c r="M37" s="66">
        <f>M89*M92*12/1000</f>
        <v>1718.952</v>
      </c>
      <c r="N37" s="66">
        <f>N89*N92*12/1000</f>
        <v>1822.0891200000001</v>
      </c>
      <c r="O37" s="91">
        <v>1974.85</v>
      </c>
      <c r="P37" s="91">
        <f>P89*P92*12/1000</f>
        <v>2053.8440832000001</v>
      </c>
      <c r="Q37" s="91">
        <f>Q89*Q92*12/1000</f>
        <v>2115.459405696</v>
      </c>
      <c r="R37" s="91">
        <v>2025.47</v>
      </c>
      <c r="S37" s="90">
        <f t="shared" si="5"/>
        <v>50.620000000000118</v>
      </c>
      <c r="T37" s="90">
        <f t="shared" si="6"/>
        <v>2.563232650581063</v>
      </c>
    </row>
    <row r="38" spans="1:22">
      <c r="A38" s="9" t="s">
        <v>126</v>
      </c>
      <c r="B38" s="44" t="s">
        <v>23</v>
      </c>
      <c r="C38" s="27" t="s">
        <v>4</v>
      </c>
      <c r="D38" s="27">
        <v>120.4</v>
      </c>
      <c r="E38" s="27">
        <v>136.9</v>
      </c>
      <c r="F38" s="27">
        <v>902.90000000000009</v>
      </c>
      <c r="G38" s="17">
        <v>157</v>
      </c>
      <c r="H38" s="17">
        <v>168</v>
      </c>
      <c r="I38" s="17">
        <v>179.8</v>
      </c>
      <c r="J38" s="17">
        <v>192.3</v>
      </c>
      <c r="K38" s="29">
        <v>205.8</v>
      </c>
      <c r="L38" s="66">
        <f t="shared" si="2"/>
        <v>932.17411628070408</v>
      </c>
      <c r="M38" s="66">
        <f>M37*0.9*0.11</f>
        <v>170.17624800000002</v>
      </c>
      <c r="N38" s="66">
        <f t="shared" ref="N38:Q38" si="12">N37*0.9*0.11</f>
        <v>180.38682288000001</v>
      </c>
      <c r="O38" s="91">
        <v>168.85</v>
      </c>
      <c r="P38" s="91">
        <f t="shared" si="12"/>
        <v>203.33056423680003</v>
      </c>
      <c r="Q38" s="91">
        <f t="shared" si="12"/>
        <v>209.43048116390401</v>
      </c>
      <c r="R38" s="91">
        <v>174.56</v>
      </c>
      <c r="S38" s="90">
        <f t="shared" si="5"/>
        <v>5.710000000000008</v>
      </c>
      <c r="T38" s="90">
        <f t="shared" si="6"/>
        <v>3.3816997334912688</v>
      </c>
    </row>
    <row r="39" spans="1:22">
      <c r="A39" s="9"/>
      <c r="B39" s="44" t="s">
        <v>143</v>
      </c>
      <c r="C39" s="27" t="s">
        <v>4</v>
      </c>
      <c r="D39" s="27"/>
      <c r="E39" s="27"/>
      <c r="F39" s="27"/>
      <c r="G39" s="17"/>
      <c r="H39" s="17"/>
      <c r="I39" s="17"/>
      <c r="J39" s="17"/>
      <c r="K39" s="29"/>
      <c r="L39" s="66"/>
      <c r="M39" s="66"/>
      <c r="N39" s="66"/>
      <c r="O39" s="91">
        <v>29.62</v>
      </c>
      <c r="P39" s="91"/>
      <c r="Q39" s="91"/>
      <c r="R39" s="91">
        <v>29.82</v>
      </c>
      <c r="S39" s="90">
        <f t="shared" si="5"/>
        <v>0.19999999999999929</v>
      </c>
      <c r="T39" s="90">
        <f t="shared" si="6"/>
        <v>0.6752194463200516</v>
      </c>
    </row>
    <row r="40" spans="1:22">
      <c r="A40" s="9" t="s">
        <v>127</v>
      </c>
      <c r="B40" s="44" t="s">
        <v>42</v>
      </c>
      <c r="C40" s="27" t="s">
        <v>4</v>
      </c>
      <c r="D40" s="27">
        <v>67.16</v>
      </c>
      <c r="E40" s="27">
        <v>96.2</v>
      </c>
      <c r="F40" s="27">
        <v>868.2</v>
      </c>
      <c r="G40" s="17">
        <v>155.80000000000001</v>
      </c>
      <c r="H40" s="17">
        <v>163.9</v>
      </c>
      <c r="I40" s="17">
        <v>172.5</v>
      </c>
      <c r="J40" s="17">
        <v>182.4</v>
      </c>
      <c r="K40" s="29">
        <v>193.6</v>
      </c>
      <c r="L40" s="66">
        <f t="shared" si="2"/>
        <v>498.92664430400004</v>
      </c>
      <c r="M40" s="66">
        <v>90.34</v>
      </c>
      <c r="N40" s="66">
        <f>M40*1.06</f>
        <v>95.760400000000004</v>
      </c>
      <c r="O40" s="91">
        <f>N40*1.05</f>
        <v>100.54842000000001</v>
      </c>
      <c r="P40" s="91">
        <f>O40*1.04</f>
        <v>104.57035680000001</v>
      </c>
      <c r="Q40" s="91">
        <f>P40*1.03</f>
        <v>107.70746750400002</v>
      </c>
      <c r="R40" s="91">
        <v>107.3</v>
      </c>
      <c r="S40" s="90">
        <f t="shared" si="5"/>
        <v>6.7515799999999899</v>
      </c>
      <c r="T40" s="90">
        <f t="shared" si="6"/>
        <v>6.7147549409528162</v>
      </c>
      <c r="V40" s="93"/>
    </row>
    <row r="41" spans="1:22">
      <c r="A41" s="9" t="s">
        <v>128</v>
      </c>
      <c r="B41" s="44" t="s">
        <v>43</v>
      </c>
      <c r="C41" s="27" t="s">
        <v>4</v>
      </c>
      <c r="D41" s="27">
        <v>42.2</v>
      </c>
      <c r="E41" s="27">
        <v>28.1</v>
      </c>
      <c r="F41" s="27">
        <v>489.59</v>
      </c>
      <c r="G41" s="17">
        <v>88.59</v>
      </c>
      <c r="H41" s="17">
        <v>93</v>
      </c>
      <c r="I41" s="17">
        <v>97.7</v>
      </c>
      <c r="J41" s="17">
        <v>102.6</v>
      </c>
      <c r="K41" s="29">
        <v>107.7</v>
      </c>
      <c r="L41" s="66">
        <f t="shared" si="2"/>
        <v>164.57841488</v>
      </c>
      <c r="M41" s="66">
        <v>29.8</v>
      </c>
      <c r="N41" s="66">
        <f>M41*1.06</f>
        <v>31.588000000000001</v>
      </c>
      <c r="O41" s="91">
        <f>N41*1.05</f>
        <v>33.167400000000001</v>
      </c>
      <c r="P41" s="91">
        <f>O41*1.04</f>
        <v>34.494095999999999</v>
      </c>
      <c r="Q41" s="91">
        <f>P41*1.03</f>
        <v>35.528918879999999</v>
      </c>
      <c r="R41" s="91">
        <v>77.52</v>
      </c>
      <c r="S41" s="90">
        <f t="shared" si="5"/>
        <v>44.352599999999995</v>
      </c>
      <c r="T41" s="90">
        <f t="shared" si="6"/>
        <v>133.72347546084407</v>
      </c>
    </row>
    <row r="42" spans="1:22">
      <c r="A42" s="8" t="s">
        <v>129</v>
      </c>
      <c r="B42" s="43" t="s">
        <v>44</v>
      </c>
      <c r="C42" s="15" t="s">
        <v>4</v>
      </c>
      <c r="D42" s="15">
        <v>1090.78</v>
      </c>
      <c r="E42" s="15">
        <v>500.15</v>
      </c>
      <c r="F42" s="15">
        <v>1612.85</v>
      </c>
      <c r="G42" s="15">
        <v>288.25</v>
      </c>
      <c r="H42" s="15">
        <v>304.39999999999998</v>
      </c>
      <c r="I42" s="15">
        <v>321.59999999999997</v>
      </c>
      <c r="J42" s="15">
        <v>339.7</v>
      </c>
      <c r="K42" s="35">
        <v>358.9</v>
      </c>
      <c r="L42" s="66">
        <f t="shared" si="2"/>
        <v>1450.5543848400002</v>
      </c>
      <c r="M42" s="67">
        <f>M44+M45+M46+M51</f>
        <v>262.64999999999998</v>
      </c>
      <c r="N42" s="67">
        <f t="shared" ref="N42:Q42" si="13">N44+N45+N46+N51</f>
        <v>278.40900000000005</v>
      </c>
      <c r="O42" s="89">
        <f t="shared" si="13"/>
        <v>292.32945000000007</v>
      </c>
      <c r="P42" s="89">
        <f t="shared" si="13"/>
        <v>304.02262800000011</v>
      </c>
      <c r="Q42" s="89">
        <f t="shared" si="13"/>
        <v>313.14330684000004</v>
      </c>
      <c r="R42" s="89">
        <f>R44+R45+R46+R51</f>
        <v>329.26</v>
      </c>
      <c r="S42" s="90">
        <f t="shared" si="5"/>
        <v>36.930549999999926</v>
      </c>
      <c r="T42" s="90">
        <f t="shared" si="6"/>
        <v>12.633195184405785</v>
      </c>
    </row>
    <row r="43" spans="1:22" ht="0.75" hidden="1" customHeight="1">
      <c r="A43" s="73" t="s">
        <v>45</v>
      </c>
      <c r="B43" s="44" t="s">
        <v>106</v>
      </c>
      <c r="C43" s="27"/>
      <c r="D43" s="27">
        <v>6.4</v>
      </c>
      <c r="E43" s="27"/>
      <c r="F43" s="46"/>
      <c r="G43" s="17"/>
      <c r="H43" s="17"/>
      <c r="I43" s="17"/>
      <c r="J43" s="17"/>
      <c r="K43" s="29"/>
      <c r="L43" s="66"/>
      <c r="M43" s="17"/>
      <c r="N43" s="17"/>
      <c r="O43" s="91"/>
      <c r="P43" s="91"/>
      <c r="Q43" s="91"/>
      <c r="R43" s="91"/>
      <c r="S43" s="90">
        <f t="shared" si="5"/>
        <v>0</v>
      </c>
      <c r="T43" s="90" t="e">
        <f t="shared" si="6"/>
        <v>#DIV/0!</v>
      </c>
    </row>
    <row r="44" spans="1:22">
      <c r="A44" s="73" t="s">
        <v>131</v>
      </c>
      <c r="B44" s="44" t="s">
        <v>107</v>
      </c>
      <c r="C44" s="27"/>
      <c r="D44" s="27">
        <v>39.090000000000003</v>
      </c>
      <c r="E44" s="27">
        <v>28.8</v>
      </c>
      <c r="F44" s="27">
        <v>315.8</v>
      </c>
      <c r="G44" s="17">
        <v>54.9</v>
      </c>
      <c r="H44" s="17">
        <v>58.7</v>
      </c>
      <c r="I44" s="17">
        <v>62.9</v>
      </c>
      <c r="J44" s="17">
        <v>67.3</v>
      </c>
      <c r="K44" s="29">
        <v>72</v>
      </c>
      <c r="L44" s="66">
        <f t="shared" si="2"/>
        <v>168.4443508</v>
      </c>
      <c r="M44" s="66">
        <v>30.5</v>
      </c>
      <c r="N44" s="66">
        <f>M44*1.06</f>
        <v>32.33</v>
      </c>
      <c r="O44" s="91">
        <f>N44*1.05</f>
        <v>33.9465</v>
      </c>
      <c r="P44" s="91">
        <f>O44*1.04</f>
        <v>35.304360000000003</v>
      </c>
      <c r="Q44" s="91">
        <f>P44*1.03</f>
        <v>36.363490800000001</v>
      </c>
      <c r="R44" s="91">
        <v>35.450000000000003</v>
      </c>
      <c r="S44" s="90">
        <f t="shared" si="5"/>
        <v>1.5035000000000025</v>
      </c>
      <c r="T44" s="90">
        <f t="shared" si="6"/>
        <v>4.429028029399209</v>
      </c>
    </row>
    <row r="45" spans="1:22">
      <c r="A45" s="73" t="s">
        <v>130</v>
      </c>
      <c r="B45" s="44" t="s">
        <v>108</v>
      </c>
      <c r="C45" s="27"/>
      <c r="D45" s="27">
        <v>127.78</v>
      </c>
      <c r="E45" s="27">
        <v>50.4</v>
      </c>
      <c r="F45" s="27">
        <v>207</v>
      </c>
      <c r="G45" s="17">
        <v>36</v>
      </c>
      <c r="H45" s="17">
        <v>38.5</v>
      </c>
      <c r="I45" s="17">
        <v>41.2</v>
      </c>
      <c r="J45" s="17">
        <v>44.1</v>
      </c>
      <c r="K45" s="29">
        <v>47.2</v>
      </c>
      <c r="L45" s="66">
        <f t="shared" si="2"/>
        <v>198.81956160000004</v>
      </c>
      <c r="M45" s="66">
        <v>36</v>
      </c>
      <c r="N45" s="66">
        <f>M45*1.06</f>
        <v>38.160000000000004</v>
      </c>
      <c r="O45" s="91">
        <f>N45*1.05</f>
        <v>40.068000000000005</v>
      </c>
      <c r="P45" s="91">
        <f>O45*1.04</f>
        <v>41.67072000000001</v>
      </c>
      <c r="Q45" s="91">
        <f>P45*1.03</f>
        <v>42.92084160000001</v>
      </c>
      <c r="R45" s="91">
        <v>41.83</v>
      </c>
      <c r="S45" s="90">
        <f t="shared" si="5"/>
        <v>1.7619999999999933</v>
      </c>
      <c r="T45" s="90">
        <f t="shared" si="6"/>
        <v>4.3975242088449464</v>
      </c>
    </row>
    <row r="46" spans="1:22" ht="13.5" customHeight="1">
      <c r="A46" s="73" t="s">
        <v>132</v>
      </c>
      <c r="B46" s="44" t="s">
        <v>109</v>
      </c>
      <c r="C46" s="27"/>
      <c r="D46" s="27">
        <v>160.71</v>
      </c>
      <c r="E46" s="27">
        <v>161</v>
      </c>
      <c r="F46" s="27">
        <v>890.3</v>
      </c>
      <c r="G46" s="17">
        <v>161.19999999999999</v>
      </c>
      <c r="H46" s="17">
        <v>169.2</v>
      </c>
      <c r="I46" s="17">
        <v>177.6</v>
      </c>
      <c r="J46" s="17">
        <v>186.5</v>
      </c>
      <c r="K46" s="29">
        <v>195.8</v>
      </c>
      <c r="L46" s="66">
        <f t="shared" si="2"/>
        <v>883.64249600000016</v>
      </c>
      <c r="M46" s="76">
        <v>160</v>
      </c>
      <c r="N46" s="76">
        <f>M46*1.06</f>
        <v>169.60000000000002</v>
      </c>
      <c r="O46" s="92">
        <f>N46*1.05</f>
        <v>178.08000000000004</v>
      </c>
      <c r="P46" s="92">
        <f>O46*1.04</f>
        <v>185.20320000000004</v>
      </c>
      <c r="Q46" s="92">
        <f>P46*1.03</f>
        <v>190.75929600000003</v>
      </c>
      <c r="R46" s="92">
        <v>184.1</v>
      </c>
      <c r="S46" s="90">
        <f t="shared" si="5"/>
        <v>6.0199999999999534</v>
      </c>
      <c r="T46" s="90">
        <f t="shared" si="6"/>
        <v>3.3805031446540608</v>
      </c>
    </row>
    <row r="47" spans="1:22" ht="0.75" hidden="1" customHeight="1">
      <c r="A47" s="73" t="s">
        <v>46</v>
      </c>
      <c r="B47" s="44" t="s">
        <v>110</v>
      </c>
      <c r="C47" s="27"/>
      <c r="D47" s="27">
        <v>1.1000000000000001</v>
      </c>
      <c r="E47" s="27"/>
      <c r="F47" s="46"/>
      <c r="G47" s="17"/>
      <c r="H47" s="17"/>
      <c r="I47" s="17"/>
      <c r="J47" s="17"/>
      <c r="K47" s="29"/>
      <c r="L47" s="66"/>
      <c r="M47" s="17"/>
      <c r="N47" s="17"/>
      <c r="O47" s="91"/>
      <c r="P47" s="91"/>
      <c r="Q47" s="91"/>
      <c r="R47" s="91"/>
      <c r="S47" s="90">
        <f t="shared" si="5"/>
        <v>0</v>
      </c>
      <c r="T47" s="90" t="e">
        <f t="shared" si="6"/>
        <v>#DIV/0!</v>
      </c>
    </row>
    <row r="48" spans="1:22" hidden="1">
      <c r="A48" s="73" t="s">
        <v>47</v>
      </c>
      <c r="B48" s="44" t="s">
        <v>111</v>
      </c>
      <c r="C48" s="27"/>
      <c r="D48" s="27">
        <v>67.3</v>
      </c>
      <c r="E48" s="27"/>
      <c r="F48" s="46"/>
      <c r="G48" s="17"/>
      <c r="H48" s="17"/>
      <c r="I48" s="17"/>
      <c r="J48" s="17"/>
      <c r="K48" s="29"/>
      <c r="L48" s="66"/>
      <c r="M48" s="17"/>
      <c r="N48" s="17"/>
      <c r="O48" s="91"/>
      <c r="P48" s="91"/>
      <c r="Q48" s="91"/>
      <c r="R48" s="91"/>
      <c r="S48" s="90">
        <f t="shared" si="5"/>
        <v>0</v>
      </c>
      <c r="T48" s="90" t="e">
        <f t="shared" si="6"/>
        <v>#DIV/0!</v>
      </c>
    </row>
    <row r="49" spans="1:20" hidden="1">
      <c r="A49" s="73" t="s">
        <v>48</v>
      </c>
      <c r="B49" s="44" t="s">
        <v>112</v>
      </c>
      <c r="C49" s="27"/>
      <c r="D49" s="27">
        <v>24.4</v>
      </c>
      <c r="E49" s="27">
        <v>223.8</v>
      </c>
      <c r="F49" s="46"/>
      <c r="G49" s="17"/>
      <c r="H49" s="17"/>
      <c r="I49" s="17"/>
      <c r="J49" s="17"/>
      <c r="K49" s="29"/>
      <c r="L49" s="66"/>
      <c r="M49" s="17"/>
      <c r="N49" s="17"/>
      <c r="O49" s="91"/>
      <c r="P49" s="91"/>
      <c r="Q49" s="91"/>
      <c r="R49" s="91"/>
      <c r="S49" s="90">
        <f t="shared" si="5"/>
        <v>0</v>
      </c>
      <c r="T49" s="90" t="e">
        <f t="shared" si="6"/>
        <v>#DIV/0!</v>
      </c>
    </row>
    <row r="50" spans="1:20" ht="26.25" hidden="1">
      <c r="A50" s="73" t="s">
        <v>49</v>
      </c>
      <c r="B50" s="68" t="s">
        <v>113</v>
      </c>
      <c r="C50" s="27"/>
      <c r="D50" s="27">
        <v>52.8</v>
      </c>
      <c r="E50" s="27"/>
      <c r="F50" s="46"/>
      <c r="G50" s="17"/>
      <c r="H50" s="17"/>
      <c r="I50" s="17"/>
      <c r="J50" s="17"/>
      <c r="K50" s="29"/>
      <c r="L50" s="66"/>
      <c r="M50" s="17"/>
      <c r="N50" s="17"/>
      <c r="O50" s="91"/>
      <c r="P50" s="91"/>
      <c r="Q50" s="91"/>
      <c r="R50" s="91"/>
      <c r="S50" s="90">
        <f t="shared" si="5"/>
        <v>0</v>
      </c>
      <c r="T50" s="90" t="e">
        <f t="shared" si="6"/>
        <v>#DIV/0!</v>
      </c>
    </row>
    <row r="51" spans="1:20" ht="25.5" customHeight="1">
      <c r="A51" s="73" t="s">
        <v>139</v>
      </c>
      <c r="B51" s="68" t="s">
        <v>50</v>
      </c>
      <c r="C51" s="27"/>
      <c r="D51" s="27">
        <v>37.6</v>
      </c>
      <c r="E51" s="27">
        <v>36.15</v>
      </c>
      <c r="F51" s="27">
        <v>199.75000000000003</v>
      </c>
      <c r="G51" s="17">
        <v>36.15</v>
      </c>
      <c r="H51" s="17">
        <v>38</v>
      </c>
      <c r="I51" s="17">
        <v>39.9</v>
      </c>
      <c r="J51" s="17">
        <v>41.8</v>
      </c>
      <c r="K51" s="29">
        <v>43.9</v>
      </c>
      <c r="L51" s="66">
        <f t="shared" si="2"/>
        <v>199.64797643999998</v>
      </c>
      <c r="M51" s="66">
        <v>36.15</v>
      </c>
      <c r="N51" s="66">
        <f>M51*1.06</f>
        <v>38.319000000000003</v>
      </c>
      <c r="O51" s="91">
        <f>N51*1.05</f>
        <v>40.234950000000005</v>
      </c>
      <c r="P51" s="91">
        <f>O51*1.04</f>
        <v>41.844348000000004</v>
      </c>
      <c r="Q51" s="91">
        <f>P51*1.03</f>
        <v>43.099678440000005</v>
      </c>
      <c r="R51" s="91">
        <v>67.88</v>
      </c>
      <c r="S51" s="90">
        <f t="shared" si="5"/>
        <v>27.645049999999991</v>
      </c>
      <c r="T51" s="90">
        <f t="shared" si="6"/>
        <v>68.709045245489278</v>
      </c>
    </row>
    <row r="52" spans="1:20" ht="26.25" hidden="1">
      <c r="A52" s="73" t="s">
        <v>52</v>
      </c>
      <c r="B52" s="68" t="s">
        <v>51</v>
      </c>
      <c r="C52" s="27"/>
      <c r="D52" s="27">
        <v>286.7</v>
      </c>
      <c r="E52" s="27"/>
      <c r="F52" s="46"/>
      <c r="G52" s="17"/>
      <c r="H52" s="17"/>
      <c r="I52" s="17"/>
      <c r="J52" s="17"/>
      <c r="K52" s="29"/>
      <c r="L52" s="66"/>
      <c r="M52" s="17"/>
      <c r="N52" s="17"/>
      <c r="O52" s="91"/>
      <c r="P52" s="91"/>
      <c r="Q52" s="91"/>
      <c r="R52" s="91"/>
      <c r="S52" s="90">
        <f t="shared" si="5"/>
        <v>0</v>
      </c>
      <c r="T52" s="90" t="e">
        <f t="shared" si="6"/>
        <v>#DIV/0!</v>
      </c>
    </row>
    <row r="53" spans="1:20" hidden="1">
      <c r="A53" s="73" t="s">
        <v>54</v>
      </c>
      <c r="B53" s="44" t="s">
        <v>53</v>
      </c>
      <c r="C53" s="27"/>
      <c r="D53" s="27">
        <v>5.4</v>
      </c>
      <c r="E53" s="27"/>
      <c r="F53" s="46"/>
      <c r="G53" s="17"/>
      <c r="H53" s="17"/>
      <c r="I53" s="17"/>
      <c r="J53" s="17"/>
      <c r="K53" s="29"/>
      <c r="L53" s="66"/>
      <c r="M53" s="17"/>
      <c r="N53" s="17"/>
      <c r="O53" s="91"/>
      <c r="P53" s="91"/>
      <c r="Q53" s="91"/>
      <c r="R53" s="91"/>
      <c r="S53" s="90">
        <f t="shared" si="5"/>
        <v>0</v>
      </c>
      <c r="T53" s="90" t="e">
        <f t="shared" si="6"/>
        <v>#DIV/0!</v>
      </c>
    </row>
    <row r="54" spans="1:20" hidden="1">
      <c r="A54" s="73" t="s">
        <v>56</v>
      </c>
      <c r="B54" s="44" t="s">
        <v>55</v>
      </c>
      <c r="C54" s="27"/>
      <c r="D54" s="27">
        <v>31.6</v>
      </c>
      <c r="E54" s="27"/>
      <c r="F54" s="46"/>
      <c r="G54" s="17"/>
      <c r="H54" s="17"/>
      <c r="I54" s="17"/>
      <c r="J54" s="17"/>
      <c r="K54" s="29"/>
      <c r="L54" s="66"/>
      <c r="M54" s="17"/>
      <c r="N54" s="17"/>
      <c r="O54" s="91"/>
      <c r="P54" s="91"/>
      <c r="Q54" s="91"/>
      <c r="R54" s="91"/>
      <c r="S54" s="90">
        <f t="shared" si="5"/>
        <v>0</v>
      </c>
      <c r="T54" s="90" t="e">
        <f t="shared" si="6"/>
        <v>#DIV/0!</v>
      </c>
    </row>
    <row r="55" spans="1:20" ht="26.25" hidden="1">
      <c r="A55" s="73" t="s">
        <v>57</v>
      </c>
      <c r="B55" s="68" t="s">
        <v>114</v>
      </c>
      <c r="C55" s="27"/>
      <c r="D55" s="27">
        <v>245.1</v>
      </c>
      <c r="E55" s="27"/>
      <c r="F55" s="46"/>
      <c r="G55" s="17"/>
      <c r="H55" s="17"/>
      <c r="I55" s="17"/>
      <c r="J55" s="17"/>
      <c r="K55" s="29"/>
      <c r="L55" s="66"/>
      <c r="M55" s="17"/>
      <c r="N55" s="17"/>
      <c r="O55" s="91"/>
      <c r="P55" s="91"/>
      <c r="Q55" s="91"/>
      <c r="R55" s="91"/>
      <c r="S55" s="90">
        <f t="shared" si="5"/>
        <v>0</v>
      </c>
      <c r="T55" s="90" t="e">
        <f t="shared" si="6"/>
        <v>#DIV/0!</v>
      </c>
    </row>
    <row r="56" spans="1:20" hidden="1">
      <c r="A56" s="17"/>
      <c r="B56" s="44" t="s">
        <v>58</v>
      </c>
      <c r="C56" s="27"/>
      <c r="D56" s="27">
        <v>4.8</v>
      </c>
      <c r="E56" s="27"/>
      <c r="F56" s="46"/>
      <c r="G56" s="17"/>
      <c r="H56" s="17"/>
      <c r="I56" s="17"/>
      <c r="J56" s="17"/>
      <c r="K56" s="29"/>
      <c r="L56" s="66"/>
      <c r="M56" s="17"/>
      <c r="N56" s="17"/>
      <c r="O56" s="91"/>
      <c r="P56" s="91"/>
      <c r="Q56" s="91"/>
      <c r="R56" s="91"/>
      <c r="S56" s="90">
        <f t="shared" si="5"/>
        <v>0</v>
      </c>
      <c r="T56" s="90" t="e">
        <f t="shared" si="6"/>
        <v>#DIV/0!</v>
      </c>
    </row>
    <row r="57" spans="1:20">
      <c r="A57" s="73" t="s">
        <v>133</v>
      </c>
      <c r="B57" s="44" t="s">
        <v>59</v>
      </c>
      <c r="C57" s="27" t="s">
        <v>4</v>
      </c>
      <c r="D57" s="27">
        <v>89.99</v>
      </c>
      <c r="E57" s="27">
        <v>77.2</v>
      </c>
      <c r="F57" s="27">
        <v>1066.6999999999998</v>
      </c>
      <c r="G57" s="17">
        <v>185.5</v>
      </c>
      <c r="H57" s="17">
        <v>198.5</v>
      </c>
      <c r="I57" s="17">
        <v>212.4</v>
      </c>
      <c r="J57" s="17">
        <v>227.2</v>
      </c>
      <c r="K57" s="29">
        <v>243.1</v>
      </c>
      <c r="L57" s="66">
        <f t="shared" si="2"/>
        <v>451.76222608</v>
      </c>
      <c r="M57" s="66">
        <v>81.8</v>
      </c>
      <c r="N57" s="66">
        <f>M57*1.06</f>
        <v>86.707999999999998</v>
      </c>
      <c r="O57" s="91">
        <f>N57*1.05</f>
        <v>91.043400000000005</v>
      </c>
      <c r="P57" s="91">
        <f>O57*1.04</f>
        <v>94.685136000000014</v>
      </c>
      <c r="Q57" s="91">
        <f>P57*1.03</f>
        <v>97.525690080000018</v>
      </c>
      <c r="R57" s="91">
        <v>103.3</v>
      </c>
      <c r="S57" s="90">
        <f t="shared" si="5"/>
        <v>12.256599999999992</v>
      </c>
      <c r="T57" s="90">
        <f t="shared" si="6"/>
        <v>13.462370693537359</v>
      </c>
    </row>
    <row r="58" spans="1:20" ht="27" customHeight="1">
      <c r="A58" s="9" t="s">
        <v>134</v>
      </c>
      <c r="B58" s="69" t="s">
        <v>117</v>
      </c>
      <c r="C58" s="74"/>
      <c r="D58" s="74">
        <v>147.05000000000001</v>
      </c>
      <c r="E58" s="21">
        <v>160.19999999999999</v>
      </c>
      <c r="F58" s="27">
        <v>927.09999999999991</v>
      </c>
      <c r="G58" s="18">
        <v>161.19999999999999</v>
      </c>
      <c r="H58" s="28">
        <v>172.5</v>
      </c>
      <c r="I58" s="18">
        <v>184.6</v>
      </c>
      <c r="J58" s="28">
        <v>197.4</v>
      </c>
      <c r="K58" s="31">
        <v>211.4</v>
      </c>
      <c r="L58" s="66">
        <f t="shared" si="2"/>
        <v>877.4569985280001</v>
      </c>
      <c r="M58" s="66">
        <v>158.88</v>
      </c>
      <c r="N58" s="66">
        <f>M58*1.06</f>
        <v>168.4128</v>
      </c>
      <c r="O58" s="91">
        <f>N58*1.05</f>
        <v>176.83344000000002</v>
      </c>
      <c r="P58" s="91">
        <f>O58*1.04</f>
        <v>183.90677760000003</v>
      </c>
      <c r="Q58" s="91">
        <f>P58*1.03</f>
        <v>189.42398092800002</v>
      </c>
      <c r="R58" s="91">
        <v>184.46</v>
      </c>
      <c r="S58" s="90">
        <f t="shared" si="5"/>
        <v>7.6265599999999836</v>
      </c>
      <c r="T58" s="90">
        <f t="shared" si="6"/>
        <v>4.3128494248599036</v>
      </c>
    </row>
    <row r="59" spans="1:20">
      <c r="A59" s="9" t="s">
        <v>135</v>
      </c>
      <c r="B59" s="44" t="s">
        <v>60</v>
      </c>
      <c r="C59" s="27" t="s">
        <v>4</v>
      </c>
      <c r="D59" s="27">
        <v>107.74</v>
      </c>
      <c r="E59" s="27">
        <v>107.69</v>
      </c>
      <c r="F59" s="27">
        <v>675.6</v>
      </c>
      <c r="G59" s="17">
        <v>117.5</v>
      </c>
      <c r="H59" s="17">
        <v>125.7</v>
      </c>
      <c r="I59" s="17">
        <v>134.5</v>
      </c>
      <c r="J59" s="17">
        <v>143.9</v>
      </c>
      <c r="K59" s="29">
        <v>154</v>
      </c>
      <c r="L59" s="66">
        <f t="shared" si="2"/>
        <v>0</v>
      </c>
      <c r="M59" s="17">
        <v>0</v>
      </c>
      <c r="N59" s="17">
        <v>0</v>
      </c>
      <c r="O59" s="91"/>
      <c r="P59" s="91"/>
      <c r="Q59" s="91"/>
      <c r="R59" s="91"/>
      <c r="S59" s="90"/>
      <c r="T59" s="90"/>
    </row>
    <row r="60" spans="1:20">
      <c r="A60" s="9" t="s">
        <v>136</v>
      </c>
      <c r="B60" s="44" t="s">
        <v>115</v>
      </c>
      <c r="C60" s="27" t="s">
        <v>4</v>
      </c>
      <c r="D60" s="27">
        <v>0</v>
      </c>
      <c r="E60" s="27">
        <v>121.9</v>
      </c>
      <c r="F60" s="27">
        <v>811</v>
      </c>
      <c r="G60" s="17">
        <v>141</v>
      </c>
      <c r="H60" s="17">
        <v>150.80000000000001</v>
      </c>
      <c r="I60" s="17">
        <v>161.5</v>
      </c>
      <c r="J60" s="17">
        <v>172.8</v>
      </c>
      <c r="K60" s="29">
        <v>184.9</v>
      </c>
      <c r="L60" s="66">
        <f t="shared" si="2"/>
        <v>778.70994960000007</v>
      </c>
      <c r="M60" s="66">
        <v>141</v>
      </c>
      <c r="N60" s="66">
        <f>M60*1.06</f>
        <v>149.46</v>
      </c>
      <c r="O60" s="91">
        <f>N60*1.05</f>
        <v>156.93300000000002</v>
      </c>
      <c r="P60" s="91">
        <f>O60*1.04</f>
        <v>163.21032000000002</v>
      </c>
      <c r="Q60" s="91">
        <f>P60*1.03</f>
        <v>168.10662960000002</v>
      </c>
      <c r="R60" s="91">
        <v>377.96</v>
      </c>
      <c r="S60" s="90">
        <f t="shared" si="5"/>
        <v>221.02699999999996</v>
      </c>
      <c r="T60" s="90">
        <f t="shared" si="6"/>
        <v>140.84163305359607</v>
      </c>
    </row>
    <row r="61" spans="1:20">
      <c r="A61" s="9" t="s">
        <v>138</v>
      </c>
      <c r="B61" s="44" t="s">
        <v>61</v>
      </c>
      <c r="C61" s="27" t="s">
        <v>4</v>
      </c>
      <c r="D61" s="27">
        <v>554.9</v>
      </c>
      <c r="E61" s="27">
        <v>353.9</v>
      </c>
      <c r="F61" s="27">
        <v>6583.8</v>
      </c>
      <c r="G61" s="17">
        <v>1191.5</v>
      </c>
      <c r="H61" s="17">
        <v>1251.0999999999999</v>
      </c>
      <c r="I61" s="17">
        <v>1313.6</v>
      </c>
      <c r="J61" s="17">
        <v>1379.3</v>
      </c>
      <c r="K61" s="29">
        <v>1448.3</v>
      </c>
      <c r="L61" s="66">
        <f t="shared" si="2"/>
        <v>4364.7984640000004</v>
      </c>
      <c r="M61" s="66">
        <v>812.1</v>
      </c>
      <c r="N61" s="66">
        <f>M61*1.06</f>
        <v>860.82600000000002</v>
      </c>
      <c r="O61" s="91">
        <v>865.22</v>
      </c>
      <c r="P61" s="91">
        <f>O61*1.04</f>
        <v>899.82880000000011</v>
      </c>
      <c r="Q61" s="91">
        <f>P61*1.03</f>
        <v>926.82366400000012</v>
      </c>
      <c r="R61" s="91">
        <v>872.52</v>
      </c>
      <c r="S61" s="90">
        <f t="shared" si="5"/>
        <v>7.2999999999999545</v>
      </c>
      <c r="T61" s="90">
        <f t="shared" si="6"/>
        <v>0.84371604909733411</v>
      </c>
    </row>
    <row r="62" spans="1:20">
      <c r="A62" s="9" t="s">
        <v>137</v>
      </c>
      <c r="B62" s="44" t="s">
        <v>62</v>
      </c>
      <c r="C62" s="27" t="s">
        <v>4</v>
      </c>
      <c r="D62" s="27">
        <v>31.87</v>
      </c>
      <c r="E62" s="27"/>
      <c r="F62" s="27"/>
      <c r="G62" s="17"/>
      <c r="H62" s="17"/>
      <c r="I62" s="17"/>
      <c r="J62" s="17"/>
      <c r="K62" s="29"/>
      <c r="L62" s="66"/>
      <c r="M62" s="17"/>
      <c r="N62" s="17"/>
      <c r="O62" s="91"/>
      <c r="P62" s="91"/>
      <c r="Q62" s="91"/>
      <c r="R62" s="91"/>
      <c r="S62" s="90"/>
      <c r="T62" s="90"/>
    </row>
    <row r="63" spans="1:20">
      <c r="A63" s="8" t="s">
        <v>140</v>
      </c>
      <c r="B63" s="43" t="s">
        <v>63</v>
      </c>
      <c r="C63" s="15" t="s">
        <v>4</v>
      </c>
      <c r="D63" s="15">
        <v>1212.7</v>
      </c>
      <c r="E63" s="15">
        <v>749.1</v>
      </c>
      <c r="F63" s="15">
        <v>8515.2000000000007</v>
      </c>
      <c r="G63" s="15">
        <v>1480.7</v>
      </c>
      <c r="H63" s="15">
        <v>1584.4</v>
      </c>
      <c r="I63" s="15">
        <v>1695.3</v>
      </c>
      <c r="J63" s="15">
        <v>1813.9</v>
      </c>
      <c r="K63" s="35">
        <v>1940.9</v>
      </c>
      <c r="L63" s="67">
        <f t="shared" si="2"/>
        <v>5557.9510399999999</v>
      </c>
      <c r="M63" s="67">
        <f>M65</f>
        <v>1336.96</v>
      </c>
      <c r="N63" s="67">
        <f t="shared" ref="N63:Q63" si="14">N65</f>
        <v>1417.1776000000002</v>
      </c>
      <c r="O63" s="89">
        <f t="shared" si="14"/>
        <v>901.2</v>
      </c>
      <c r="P63" s="89">
        <f t="shared" si="14"/>
        <v>937.24800000000005</v>
      </c>
      <c r="Q63" s="89">
        <f t="shared" si="14"/>
        <v>965.36544000000004</v>
      </c>
      <c r="R63" s="89">
        <f t="shared" ref="R63" si="15">R65</f>
        <v>925.9</v>
      </c>
      <c r="S63" s="90">
        <f t="shared" si="5"/>
        <v>24.699999999999932</v>
      </c>
      <c r="T63" s="90">
        <f t="shared" si="6"/>
        <v>2.7407900577008357</v>
      </c>
    </row>
    <row r="64" spans="1:20">
      <c r="A64" s="73" t="s">
        <v>141</v>
      </c>
      <c r="B64" s="19" t="s">
        <v>64</v>
      </c>
      <c r="C64" s="25"/>
      <c r="D64" s="74">
        <v>41.2</v>
      </c>
      <c r="E64" s="27"/>
      <c r="F64" s="27"/>
      <c r="G64" s="17"/>
      <c r="H64" s="17"/>
      <c r="I64" s="17"/>
      <c r="J64" s="17"/>
      <c r="K64" s="29"/>
      <c r="L64" s="66"/>
      <c r="M64" s="17"/>
      <c r="N64" s="17"/>
      <c r="O64" s="91"/>
      <c r="P64" s="91"/>
      <c r="Q64" s="91"/>
      <c r="R64" s="91"/>
      <c r="S64" s="90"/>
      <c r="T64" s="90"/>
    </row>
    <row r="65" spans="1:20">
      <c r="A65" s="73" t="s">
        <v>142</v>
      </c>
      <c r="B65" s="19" t="s">
        <v>144</v>
      </c>
      <c r="C65" s="25"/>
      <c r="D65" s="74">
        <v>894.3</v>
      </c>
      <c r="E65" s="27">
        <v>749.1</v>
      </c>
      <c r="F65" s="27">
        <v>8515.2000000000007</v>
      </c>
      <c r="G65" s="17">
        <v>1480.7</v>
      </c>
      <c r="H65" s="17">
        <v>1584.4</v>
      </c>
      <c r="I65" s="17">
        <v>1695.3</v>
      </c>
      <c r="J65" s="17">
        <v>1813.9</v>
      </c>
      <c r="K65" s="29">
        <v>1940.9</v>
      </c>
      <c r="L65" s="66">
        <f>M65+N65+O65+P65+Q65</f>
        <v>5557.9510399999999</v>
      </c>
      <c r="M65" s="66">
        <v>1336.96</v>
      </c>
      <c r="N65" s="66">
        <f>M65*1.06</f>
        <v>1417.1776000000002</v>
      </c>
      <c r="O65" s="91">
        <v>901.2</v>
      </c>
      <c r="P65" s="91">
        <f>O65*1.04</f>
        <v>937.24800000000005</v>
      </c>
      <c r="Q65" s="91">
        <f>P65*1.03</f>
        <v>965.36544000000004</v>
      </c>
      <c r="R65" s="91">
        <v>925.9</v>
      </c>
      <c r="S65" s="90">
        <f t="shared" si="5"/>
        <v>24.699999999999932</v>
      </c>
      <c r="T65" s="90">
        <f t="shared" si="6"/>
        <v>2.7407900577008357</v>
      </c>
    </row>
    <row r="66" spans="1:20" ht="1.5" hidden="1" customHeight="1">
      <c r="A66" s="11" t="s">
        <v>65</v>
      </c>
      <c r="B66" s="19" t="s">
        <v>66</v>
      </c>
      <c r="C66" s="25"/>
      <c r="D66" s="74">
        <v>13.8</v>
      </c>
      <c r="E66" s="27"/>
      <c r="F66" s="27"/>
      <c r="G66" s="17"/>
      <c r="H66" s="17"/>
      <c r="I66" s="17"/>
      <c r="J66" s="17"/>
      <c r="K66" s="29"/>
      <c r="L66" s="66"/>
      <c r="M66" s="17"/>
      <c r="N66" s="17"/>
      <c r="O66" s="91"/>
      <c r="P66" s="91"/>
      <c r="Q66" s="91"/>
      <c r="R66" s="91"/>
      <c r="S66" s="90">
        <f t="shared" si="5"/>
        <v>0</v>
      </c>
      <c r="T66" s="90" t="e">
        <f t="shared" si="6"/>
        <v>#DIV/0!</v>
      </c>
    </row>
    <row r="67" spans="1:20" hidden="1">
      <c r="A67" s="11" t="s">
        <v>67</v>
      </c>
      <c r="B67" s="19" t="s">
        <v>68</v>
      </c>
      <c r="C67" s="25"/>
      <c r="D67" s="74">
        <v>32.700000000000003</v>
      </c>
      <c r="E67" s="27"/>
      <c r="F67" s="27"/>
      <c r="G67" s="17"/>
      <c r="H67" s="17"/>
      <c r="I67" s="17"/>
      <c r="J67" s="17"/>
      <c r="K67" s="29"/>
      <c r="L67" s="66"/>
      <c r="M67" s="17"/>
      <c r="N67" s="17"/>
      <c r="O67" s="91"/>
      <c r="P67" s="91"/>
      <c r="Q67" s="91"/>
      <c r="R67" s="91"/>
      <c r="S67" s="90">
        <f t="shared" si="5"/>
        <v>0</v>
      </c>
      <c r="T67" s="90" t="e">
        <f t="shared" si="6"/>
        <v>#DIV/0!</v>
      </c>
    </row>
    <row r="68" spans="1:20" hidden="1">
      <c r="A68" s="11" t="s">
        <v>69</v>
      </c>
      <c r="B68" s="19" t="s">
        <v>70</v>
      </c>
      <c r="C68" s="25"/>
      <c r="D68" s="74">
        <v>31.9</v>
      </c>
      <c r="E68" s="27"/>
      <c r="F68" s="27"/>
      <c r="G68" s="17"/>
      <c r="H68" s="17"/>
      <c r="I68" s="17"/>
      <c r="J68" s="17"/>
      <c r="K68" s="29"/>
      <c r="L68" s="66"/>
      <c r="M68" s="17"/>
      <c r="N68" s="17"/>
      <c r="O68" s="91"/>
      <c r="P68" s="91"/>
      <c r="Q68" s="91"/>
      <c r="R68" s="91"/>
      <c r="S68" s="90">
        <f t="shared" si="5"/>
        <v>0</v>
      </c>
      <c r="T68" s="90" t="e">
        <f t="shared" si="6"/>
        <v>#DIV/0!</v>
      </c>
    </row>
    <row r="69" spans="1:20" hidden="1">
      <c r="A69" s="11" t="s">
        <v>71</v>
      </c>
      <c r="B69" s="19" t="s">
        <v>72</v>
      </c>
      <c r="C69" s="25"/>
      <c r="D69" s="74">
        <v>194.6</v>
      </c>
      <c r="E69" s="27"/>
      <c r="F69" s="27"/>
      <c r="G69" s="17"/>
      <c r="H69" s="17"/>
      <c r="I69" s="17"/>
      <c r="J69" s="17"/>
      <c r="K69" s="29"/>
      <c r="L69" s="66"/>
      <c r="M69" s="17"/>
      <c r="N69" s="17"/>
      <c r="O69" s="91"/>
      <c r="P69" s="91"/>
      <c r="Q69" s="91"/>
      <c r="R69" s="91"/>
      <c r="S69" s="90">
        <f t="shared" si="5"/>
        <v>0</v>
      </c>
      <c r="T69" s="90" t="e">
        <f t="shared" si="6"/>
        <v>#DIV/0!</v>
      </c>
    </row>
    <row r="70" spans="1:20" hidden="1">
      <c r="A70" s="11" t="s">
        <v>73</v>
      </c>
      <c r="B70" s="19" t="s">
        <v>74</v>
      </c>
      <c r="C70" s="25"/>
      <c r="D70" s="74">
        <v>4.2</v>
      </c>
      <c r="E70" s="27"/>
      <c r="F70" s="27"/>
      <c r="G70" s="17"/>
      <c r="H70" s="17"/>
      <c r="I70" s="17"/>
      <c r="J70" s="17"/>
      <c r="K70" s="29"/>
      <c r="L70" s="66"/>
      <c r="M70" s="17"/>
      <c r="N70" s="17"/>
      <c r="O70" s="91"/>
      <c r="P70" s="91"/>
      <c r="Q70" s="91"/>
      <c r="R70" s="91"/>
      <c r="S70" s="90">
        <f t="shared" si="5"/>
        <v>0</v>
      </c>
      <c r="T70" s="90" t="e">
        <f t="shared" si="6"/>
        <v>#DIV/0!</v>
      </c>
    </row>
    <row r="71" spans="1:20" hidden="1">
      <c r="A71" s="73">
        <v>7</v>
      </c>
      <c r="B71" s="19" t="s">
        <v>75</v>
      </c>
      <c r="C71" s="25" t="s">
        <v>4</v>
      </c>
      <c r="D71" s="74"/>
      <c r="E71" s="27"/>
      <c r="F71" s="27"/>
      <c r="G71" s="17"/>
      <c r="H71" s="17"/>
      <c r="I71" s="17"/>
      <c r="J71" s="17"/>
      <c r="K71" s="29"/>
      <c r="L71" s="66"/>
      <c r="M71" s="17"/>
      <c r="N71" s="17"/>
      <c r="O71" s="91"/>
      <c r="P71" s="91"/>
      <c r="Q71" s="91"/>
      <c r="R71" s="91"/>
      <c r="S71" s="90">
        <f t="shared" si="5"/>
        <v>0</v>
      </c>
      <c r="T71" s="90" t="e">
        <f t="shared" si="6"/>
        <v>#DIV/0!</v>
      </c>
    </row>
    <row r="72" spans="1:20">
      <c r="A72" s="9" t="s">
        <v>76</v>
      </c>
      <c r="B72" s="43" t="s">
        <v>77</v>
      </c>
      <c r="C72" s="15" t="s">
        <v>4</v>
      </c>
      <c r="D72" s="47">
        <v>27730.53</v>
      </c>
      <c r="E72" s="47">
        <v>28047.51</v>
      </c>
      <c r="F72" s="47">
        <v>246657.68</v>
      </c>
      <c r="G72" s="47">
        <v>44154.11</v>
      </c>
      <c r="H72" s="47">
        <v>46503.600000000006</v>
      </c>
      <c r="I72" s="47">
        <v>49034.98000000001</v>
      </c>
      <c r="J72" s="47">
        <v>51901.680000000008</v>
      </c>
      <c r="K72" s="48">
        <v>55100.509999999995</v>
      </c>
      <c r="L72" s="66">
        <f t="shared" ref="L72:L92" si="16">M72+N72+O72+P72+Q72</f>
        <v>183109.01475958386</v>
      </c>
      <c r="M72" s="67">
        <f>M34+M8</f>
        <v>34348.677808880006</v>
      </c>
      <c r="N72" s="67">
        <f t="shared" ref="N72:Q72" si="17">N34+N8</f>
        <v>35653.280477412802</v>
      </c>
      <c r="O72" s="89">
        <f t="shared" si="17"/>
        <v>36761.247170399998</v>
      </c>
      <c r="P72" s="89">
        <f t="shared" si="17"/>
        <v>37746.647193542398</v>
      </c>
      <c r="Q72" s="89">
        <f t="shared" si="17"/>
        <v>38599.162109348676</v>
      </c>
      <c r="R72" s="89">
        <f t="shared" ref="R72" si="18">R34+R8</f>
        <v>38292.120000000003</v>
      </c>
      <c r="S72" s="90">
        <f t="shared" si="5"/>
        <v>1530.8728296000045</v>
      </c>
      <c r="T72" s="90">
        <f t="shared" si="6"/>
        <v>4.1643658674144675</v>
      </c>
    </row>
    <row r="73" spans="1:20">
      <c r="A73" s="9" t="s">
        <v>78</v>
      </c>
      <c r="B73" s="44" t="s">
        <v>149</v>
      </c>
      <c r="C73" s="27" t="s">
        <v>4</v>
      </c>
      <c r="D73" s="39">
        <v>-7617.1299999999974</v>
      </c>
      <c r="E73" s="39">
        <v>-8277.2799999999988</v>
      </c>
      <c r="F73" s="27">
        <v>4945.2</v>
      </c>
      <c r="G73" s="42">
        <v>1150</v>
      </c>
      <c r="H73" s="17">
        <v>1068.9000000000001</v>
      </c>
      <c r="I73" s="17">
        <v>983.5</v>
      </c>
      <c r="J73" s="17">
        <v>904.8</v>
      </c>
      <c r="K73" s="49">
        <v>838</v>
      </c>
      <c r="L73" s="66"/>
      <c r="M73" s="17"/>
      <c r="N73" s="17"/>
      <c r="O73" s="91"/>
      <c r="P73" s="91"/>
      <c r="Q73" s="91"/>
      <c r="R73" s="91">
        <f>R75-R72</f>
        <v>-2069.6200000000026</v>
      </c>
      <c r="S73" s="90"/>
      <c r="T73" s="90"/>
    </row>
    <row r="74" spans="1:20">
      <c r="A74" s="9" t="s">
        <v>79</v>
      </c>
      <c r="B74" s="44" t="s">
        <v>80</v>
      </c>
      <c r="C74" s="27" t="s">
        <v>4</v>
      </c>
      <c r="D74" s="27"/>
      <c r="E74" s="27"/>
      <c r="F74" s="27"/>
      <c r="G74" s="17"/>
      <c r="H74" s="17"/>
      <c r="I74" s="17"/>
      <c r="J74" s="17"/>
      <c r="K74" s="29"/>
      <c r="L74" s="66"/>
      <c r="M74" s="17"/>
      <c r="N74" s="17"/>
      <c r="O74" s="91"/>
      <c r="P74" s="91"/>
      <c r="Q74" s="91"/>
      <c r="R74" s="91"/>
      <c r="S74" s="90"/>
      <c r="T74" s="90"/>
    </row>
    <row r="75" spans="1:20">
      <c r="A75" s="9" t="s">
        <v>81</v>
      </c>
      <c r="B75" s="43" t="s">
        <v>82</v>
      </c>
      <c r="C75" s="15" t="s">
        <v>4</v>
      </c>
      <c r="D75" s="15">
        <v>20113.400000000001</v>
      </c>
      <c r="E75" s="15">
        <v>19770.23</v>
      </c>
      <c r="F75" s="50">
        <v>251602.88</v>
      </c>
      <c r="G75" s="50">
        <v>45304.11</v>
      </c>
      <c r="H75" s="50">
        <v>47572.500000000007</v>
      </c>
      <c r="I75" s="50">
        <v>50018.48000000001</v>
      </c>
      <c r="J75" s="50">
        <v>52806.48000000001</v>
      </c>
      <c r="K75" s="51">
        <v>55938.509999999995</v>
      </c>
      <c r="L75" s="66">
        <f t="shared" si="16"/>
        <v>183109.01475958386</v>
      </c>
      <c r="M75" s="67">
        <f>M72</f>
        <v>34348.677808880006</v>
      </c>
      <c r="N75" s="67">
        <f t="shared" ref="N75:Q75" si="19">N72</f>
        <v>35653.280477412802</v>
      </c>
      <c r="O75" s="89">
        <f t="shared" si="19"/>
        <v>36761.247170399998</v>
      </c>
      <c r="P75" s="89">
        <f t="shared" si="19"/>
        <v>37746.647193542398</v>
      </c>
      <c r="Q75" s="89">
        <f t="shared" si="19"/>
        <v>38599.162109348676</v>
      </c>
      <c r="R75" s="89">
        <v>36222.5</v>
      </c>
      <c r="S75" s="90">
        <f t="shared" ref="S75:S92" si="20">R75-O75</f>
        <v>-538.74717039999814</v>
      </c>
      <c r="T75" s="90">
        <f t="shared" ref="T75:T92" si="21">S75/O75*100</f>
        <v>-1.4655301761192561</v>
      </c>
    </row>
    <row r="76" spans="1:20">
      <c r="A76" s="9" t="s">
        <v>83</v>
      </c>
      <c r="B76" s="44" t="s">
        <v>116</v>
      </c>
      <c r="C76" s="27"/>
      <c r="D76" s="27"/>
      <c r="E76" s="27"/>
      <c r="F76" s="27"/>
      <c r="G76" s="17"/>
      <c r="H76" s="17"/>
      <c r="I76" s="17"/>
      <c r="J76" s="17"/>
      <c r="K76" s="29"/>
      <c r="L76" s="66"/>
      <c r="M76" s="17"/>
      <c r="N76" s="17"/>
      <c r="O76" s="91"/>
      <c r="P76" s="91"/>
      <c r="Q76" s="91"/>
      <c r="R76" s="91"/>
      <c r="S76" s="90"/>
      <c r="T76" s="90"/>
    </row>
    <row r="77" spans="1:20">
      <c r="A77" s="12" t="s">
        <v>85</v>
      </c>
      <c r="B77" s="43" t="s">
        <v>82</v>
      </c>
      <c r="C77" s="15"/>
      <c r="D77" s="15">
        <v>20113.400000000001</v>
      </c>
      <c r="E77" s="15">
        <v>19770.23</v>
      </c>
      <c r="F77" s="47">
        <v>251602.88</v>
      </c>
      <c r="G77" s="47">
        <v>45304.11</v>
      </c>
      <c r="H77" s="47">
        <v>47572.500000000007</v>
      </c>
      <c r="I77" s="47">
        <v>50018.48000000001</v>
      </c>
      <c r="J77" s="47">
        <v>52806.48000000001</v>
      </c>
      <c r="K77" s="48">
        <v>55938.509999999995</v>
      </c>
      <c r="L77" s="66"/>
      <c r="M77" s="17"/>
      <c r="N77" s="17"/>
      <c r="O77" s="91"/>
      <c r="P77" s="91"/>
      <c r="Q77" s="91"/>
      <c r="R77" s="91"/>
      <c r="S77" s="90"/>
      <c r="T77" s="90"/>
    </row>
    <row r="78" spans="1:20" ht="15.75" customHeight="1">
      <c r="A78" s="13"/>
      <c r="B78" s="44" t="s">
        <v>84</v>
      </c>
      <c r="C78" s="27" t="s">
        <v>4</v>
      </c>
      <c r="D78" s="27">
        <v>213.8</v>
      </c>
      <c r="E78" s="39">
        <v>209</v>
      </c>
      <c r="F78" s="39">
        <v>1054</v>
      </c>
      <c r="G78" s="42">
        <v>209</v>
      </c>
      <c r="H78" s="42">
        <v>211</v>
      </c>
      <c r="I78" s="42">
        <v>211</v>
      </c>
      <c r="J78" s="42">
        <v>211</v>
      </c>
      <c r="K78" s="49">
        <v>212</v>
      </c>
      <c r="L78" s="66">
        <f t="shared" si="16"/>
        <v>1120</v>
      </c>
      <c r="M78" s="42">
        <v>224</v>
      </c>
      <c r="N78" s="42">
        <v>224</v>
      </c>
      <c r="O78" s="91">
        <v>224</v>
      </c>
      <c r="P78" s="91">
        <v>224</v>
      </c>
      <c r="Q78" s="91">
        <v>224</v>
      </c>
      <c r="R78" s="91">
        <v>223.2</v>
      </c>
      <c r="S78" s="90">
        <f t="shared" si="20"/>
        <v>-0.80000000000001137</v>
      </c>
      <c r="T78" s="90">
        <f t="shared" si="21"/>
        <v>-0.3571428571428622</v>
      </c>
    </row>
    <row r="79" spans="1:20" ht="0.75" hidden="1" customHeight="1">
      <c r="A79" s="12" t="s">
        <v>91</v>
      </c>
      <c r="B79" s="19" t="s">
        <v>86</v>
      </c>
      <c r="C79" s="74" t="s">
        <v>87</v>
      </c>
      <c r="D79" s="74"/>
      <c r="E79" s="74"/>
      <c r="F79" s="74"/>
      <c r="G79" s="17"/>
      <c r="H79" s="17"/>
      <c r="I79" s="17"/>
      <c r="J79" s="17"/>
      <c r="K79" s="29"/>
      <c r="L79" s="66"/>
      <c r="M79" s="17"/>
      <c r="N79" s="17"/>
      <c r="O79" s="91"/>
      <c r="P79" s="91"/>
      <c r="Q79" s="91"/>
      <c r="R79" s="91"/>
      <c r="S79" s="90">
        <f t="shared" si="20"/>
        <v>0</v>
      </c>
      <c r="T79" s="90" t="e">
        <f t="shared" si="21"/>
        <v>#DIV/0!</v>
      </c>
    </row>
    <row r="80" spans="1:20" hidden="1">
      <c r="A80" s="9"/>
      <c r="B80" s="19"/>
      <c r="C80" s="74" t="s">
        <v>88</v>
      </c>
      <c r="D80" s="74"/>
      <c r="E80" s="74"/>
      <c r="F80" s="74"/>
      <c r="G80" s="18"/>
      <c r="H80" s="18"/>
      <c r="I80" s="18"/>
      <c r="J80" s="18"/>
      <c r="K80" s="31"/>
      <c r="L80" s="66"/>
      <c r="M80" s="17"/>
      <c r="N80" s="17"/>
      <c r="O80" s="91"/>
      <c r="P80" s="91"/>
      <c r="Q80" s="91"/>
      <c r="R80" s="91"/>
      <c r="S80" s="90">
        <f t="shared" si="20"/>
        <v>0</v>
      </c>
      <c r="T80" s="90" t="e">
        <f t="shared" si="21"/>
        <v>#DIV/0!</v>
      </c>
    </row>
    <row r="81" spans="1:20" hidden="1">
      <c r="A81" s="28"/>
      <c r="B81" s="22"/>
      <c r="C81" s="21" t="s">
        <v>89</v>
      </c>
      <c r="D81" s="21"/>
      <c r="E81" s="21"/>
      <c r="F81" s="21"/>
      <c r="G81" s="20"/>
      <c r="H81" s="20"/>
      <c r="I81" s="20"/>
      <c r="J81" s="20"/>
      <c r="K81" s="23"/>
      <c r="L81" s="66"/>
      <c r="M81" s="17"/>
      <c r="N81" s="17"/>
      <c r="O81" s="91"/>
      <c r="P81" s="91"/>
      <c r="Q81" s="91"/>
      <c r="R81" s="91"/>
      <c r="S81" s="90">
        <f t="shared" si="20"/>
        <v>0</v>
      </c>
      <c r="T81" s="90" t="e">
        <f t="shared" si="21"/>
        <v>#DIV/0!</v>
      </c>
    </row>
    <row r="82" spans="1:20" hidden="1">
      <c r="A82" s="28"/>
      <c r="B82" s="22"/>
      <c r="C82" s="21" t="s">
        <v>90</v>
      </c>
      <c r="D82" s="21"/>
      <c r="E82" s="21"/>
      <c r="F82" s="21"/>
      <c r="G82" s="24"/>
      <c r="H82" s="24"/>
      <c r="I82" s="24"/>
      <c r="J82" s="24"/>
      <c r="K82" s="26"/>
      <c r="L82" s="66"/>
      <c r="M82" s="17"/>
      <c r="N82" s="17"/>
      <c r="O82" s="91"/>
      <c r="P82" s="91"/>
      <c r="Q82" s="91"/>
      <c r="R82" s="91"/>
      <c r="S82" s="90">
        <f t="shared" si="20"/>
        <v>0</v>
      </c>
      <c r="T82" s="90" t="e">
        <f t="shared" si="21"/>
        <v>#DIV/0!</v>
      </c>
    </row>
    <row r="83" spans="1:20">
      <c r="A83" s="12" t="s">
        <v>91</v>
      </c>
      <c r="B83" s="52" t="s">
        <v>92</v>
      </c>
      <c r="C83" s="30" t="s">
        <v>120</v>
      </c>
      <c r="D83" s="53">
        <v>94.075771749298411</v>
      </c>
      <c r="E83" s="53">
        <v>94.5944019138756</v>
      </c>
      <c r="F83" s="53">
        <v>238.71240986717268</v>
      </c>
      <c r="G83" s="53">
        <v>216.76607655502391</v>
      </c>
      <c r="H83" s="53">
        <v>225.46208530805691</v>
      </c>
      <c r="I83" s="53">
        <v>237.05440758293844</v>
      </c>
      <c r="J83" s="53">
        <v>250.26767772511855</v>
      </c>
      <c r="K83" s="54">
        <v>263.86089622641509</v>
      </c>
      <c r="L83" s="67">
        <f t="shared" si="16"/>
        <v>817.45095874814228</v>
      </c>
      <c r="M83" s="67">
        <f>M75/M78</f>
        <v>153.34231164678573</v>
      </c>
      <c r="N83" s="67">
        <f t="shared" ref="N83:P83" si="22">N75/N78</f>
        <v>159.16643070273571</v>
      </c>
      <c r="O83" s="89">
        <f t="shared" si="22"/>
        <v>164.11271058214285</v>
      </c>
      <c r="P83" s="89">
        <f t="shared" si="22"/>
        <v>168.51181782831426</v>
      </c>
      <c r="Q83" s="89">
        <f>Q75/Q78</f>
        <v>172.31768798816373</v>
      </c>
      <c r="R83" s="89">
        <f t="shared" ref="R83" si="23">R75/R78</f>
        <v>162.28718637992833</v>
      </c>
      <c r="S83" s="90">
        <f t="shared" si="20"/>
        <v>-1.8255242022145239</v>
      </c>
      <c r="T83" s="90">
        <f t="shared" si="21"/>
        <v>-1.1123600333813264</v>
      </c>
    </row>
    <row r="84" spans="1:20">
      <c r="A84" s="40"/>
      <c r="B84" s="44" t="s">
        <v>121</v>
      </c>
      <c r="C84" s="15" t="s">
        <v>87</v>
      </c>
      <c r="D84" s="75"/>
      <c r="E84" s="75"/>
      <c r="F84" s="75"/>
      <c r="G84" s="17"/>
      <c r="H84" s="17"/>
      <c r="I84" s="17"/>
      <c r="J84" s="17"/>
      <c r="K84" s="17"/>
      <c r="L84" s="66"/>
      <c r="M84" s="66"/>
      <c r="N84" s="66">
        <f>N83/M83*100-100</f>
        <v>3.7981161190301123</v>
      </c>
      <c r="O84" s="91">
        <f>O83/N83*100-100</f>
        <v>3.1076150024655504</v>
      </c>
      <c r="P84" s="91">
        <f>P83/O83*100-100</f>
        <v>2.6805402400379847</v>
      </c>
      <c r="Q84" s="91">
        <f>Q83/P83*100-100</f>
        <v>2.2585182504689385</v>
      </c>
      <c r="R84" s="91">
        <f>R83/Q83*100-100</f>
        <v>-5.8209355785485997</v>
      </c>
      <c r="S84" s="90">
        <f t="shared" si="20"/>
        <v>-8.9285505810141501</v>
      </c>
      <c r="T84" s="90">
        <f t="shared" si="21"/>
        <v>-287.31199244212451</v>
      </c>
    </row>
    <row r="85" spans="1:20">
      <c r="A85" s="17"/>
      <c r="B85" s="55" t="s">
        <v>93</v>
      </c>
      <c r="C85" s="56"/>
      <c r="D85" s="56"/>
      <c r="E85" s="57"/>
      <c r="F85" s="17"/>
      <c r="G85" s="17"/>
      <c r="H85" s="17"/>
      <c r="I85" s="17"/>
      <c r="J85" s="17"/>
      <c r="K85" s="29"/>
      <c r="L85" s="66"/>
      <c r="M85" s="17"/>
      <c r="N85" s="17"/>
      <c r="O85" s="91"/>
      <c r="P85" s="91"/>
      <c r="Q85" s="91"/>
      <c r="R85" s="91"/>
      <c r="S85" s="90"/>
      <c r="T85" s="90"/>
    </row>
    <row r="86" spans="1:20">
      <c r="A86" s="40"/>
      <c r="B86" s="58" t="s">
        <v>94</v>
      </c>
      <c r="C86" s="18" t="s">
        <v>95</v>
      </c>
      <c r="D86" s="46">
        <v>28</v>
      </c>
      <c r="E86" s="46">
        <v>29</v>
      </c>
      <c r="F86" s="27">
        <v>150</v>
      </c>
      <c r="G86" s="17">
        <v>30</v>
      </c>
      <c r="H86" s="17">
        <v>30</v>
      </c>
      <c r="I86" s="17">
        <v>30</v>
      </c>
      <c r="J86" s="17">
        <v>30</v>
      </c>
      <c r="K86" s="29">
        <v>30</v>
      </c>
      <c r="L86" s="66">
        <f t="shared" si="16"/>
        <v>140</v>
      </c>
      <c r="M86" s="17">
        <v>28</v>
      </c>
      <c r="N86" s="17">
        <v>28</v>
      </c>
      <c r="O86" s="91">
        <v>28</v>
      </c>
      <c r="P86" s="91">
        <v>28</v>
      </c>
      <c r="Q86" s="91">
        <v>28</v>
      </c>
      <c r="R86" s="91">
        <f>R88+R89</f>
        <v>29</v>
      </c>
      <c r="S86" s="90">
        <f t="shared" si="20"/>
        <v>1</v>
      </c>
      <c r="T86" s="90">
        <f t="shared" si="21"/>
        <v>3.5714285714285712</v>
      </c>
    </row>
    <row r="87" spans="1:20">
      <c r="A87" s="40"/>
      <c r="B87" s="59" t="s">
        <v>6</v>
      </c>
      <c r="C87" s="24"/>
      <c r="D87" s="46"/>
      <c r="E87" s="46"/>
      <c r="F87" s="24"/>
      <c r="G87" s="17"/>
      <c r="H87" s="17"/>
      <c r="I87" s="17"/>
      <c r="J87" s="17"/>
      <c r="K87" s="29"/>
      <c r="L87" s="66"/>
      <c r="M87" s="17"/>
      <c r="N87" s="17"/>
      <c r="O87" s="91"/>
      <c r="P87" s="91"/>
      <c r="Q87" s="91"/>
      <c r="R87" s="91"/>
      <c r="S87" s="90"/>
      <c r="T87" s="90"/>
    </row>
    <row r="88" spans="1:20">
      <c r="A88" s="17"/>
      <c r="B88" s="55" t="s">
        <v>96</v>
      </c>
      <c r="C88" s="17" t="s">
        <v>95</v>
      </c>
      <c r="D88" s="46">
        <v>26</v>
      </c>
      <c r="E88" s="46">
        <v>26</v>
      </c>
      <c r="F88" s="27">
        <v>135</v>
      </c>
      <c r="G88" s="17">
        <v>27</v>
      </c>
      <c r="H88" s="17">
        <v>27</v>
      </c>
      <c r="I88" s="17">
        <v>27</v>
      </c>
      <c r="J88" s="17">
        <v>27</v>
      </c>
      <c r="K88" s="29">
        <v>27</v>
      </c>
      <c r="L88" s="66">
        <f t="shared" si="16"/>
        <v>130</v>
      </c>
      <c r="M88" s="17">
        <v>26</v>
      </c>
      <c r="N88" s="17">
        <v>26</v>
      </c>
      <c r="O88" s="91">
        <v>26</v>
      </c>
      <c r="P88" s="91">
        <v>26</v>
      </c>
      <c r="Q88" s="91">
        <v>26</v>
      </c>
      <c r="R88" s="91">
        <v>27</v>
      </c>
      <c r="S88" s="90">
        <f t="shared" si="20"/>
        <v>1</v>
      </c>
      <c r="T88" s="90">
        <f t="shared" si="21"/>
        <v>3.8461538461538463</v>
      </c>
    </row>
    <row r="89" spans="1:20">
      <c r="A89" s="17"/>
      <c r="B89" s="55" t="s">
        <v>97</v>
      </c>
      <c r="C89" s="17" t="s">
        <v>95</v>
      </c>
      <c r="D89" s="46">
        <v>2</v>
      </c>
      <c r="E89" s="46">
        <v>3</v>
      </c>
      <c r="F89" s="27">
        <v>15</v>
      </c>
      <c r="G89" s="17">
        <v>3</v>
      </c>
      <c r="H89" s="17">
        <v>3</v>
      </c>
      <c r="I89" s="17">
        <v>3</v>
      </c>
      <c r="J89" s="17">
        <v>3</v>
      </c>
      <c r="K89" s="29">
        <v>3</v>
      </c>
      <c r="L89" s="66">
        <f t="shared" si="16"/>
        <v>10</v>
      </c>
      <c r="M89" s="17">
        <v>2</v>
      </c>
      <c r="N89" s="17">
        <v>2</v>
      </c>
      <c r="O89" s="91">
        <v>2</v>
      </c>
      <c r="P89" s="91">
        <v>2</v>
      </c>
      <c r="Q89" s="91">
        <v>2</v>
      </c>
      <c r="R89" s="91">
        <v>2</v>
      </c>
      <c r="S89" s="90">
        <f t="shared" si="20"/>
        <v>0</v>
      </c>
      <c r="T89" s="90">
        <f t="shared" si="21"/>
        <v>0</v>
      </c>
    </row>
    <row r="90" spans="1:20" ht="26.25">
      <c r="A90" s="14">
        <v>8</v>
      </c>
      <c r="B90" s="82" t="s">
        <v>98</v>
      </c>
      <c r="C90" s="40" t="s">
        <v>99</v>
      </c>
      <c r="D90" s="60">
        <v>54846.458333333336</v>
      </c>
      <c r="E90" s="60">
        <v>56816.091954022988</v>
      </c>
      <c r="F90" s="60">
        <v>85153.666666666672</v>
      </c>
      <c r="G90" s="60">
        <v>74037.222222222219</v>
      </c>
      <c r="H90" s="60">
        <v>79219.722222222219</v>
      </c>
      <c r="I90" s="60">
        <v>84765.277777777766</v>
      </c>
      <c r="J90" s="60">
        <v>90698.611111111124</v>
      </c>
      <c r="K90" s="61">
        <v>97047.5</v>
      </c>
      <c r="L90" s="66"/>
      <c r="M90" s="17"/>
      <c r="N90" s="17"/>
      <c r="O90" s="91"/>
      <c r="P90" s="91"/>
      <c r="Q90" s="91"/>
      <c r="R90" s="91"/>
      <c r="S90" s="90"/>
      <c r="T90" s="90"/>
    </row>
    <row r="91" spans="1:20">
      <c r="A91" s="9" t="s">
        <v>100</v>
      </c>
      <c r="B91" s="55" t="s">
        <v>101</v>
      </c>
      <c r="C91" s="17" t="s">
        <v>99</v>
      </c>
      <c r="D91" s="62">
        <v>53799.999999999993</v>
      </c>
      <c r="E91" s="62">
        <v>56193.269230769234</v>
      </c>
      <c r="F91" s="62">
        <v>85673.888888888891</v>
      </c>
      <c r="G91" s="62">
        <v>74489.506172839494</v>
      </c>
      <c r="H91" s="62">
        <v>79703.703703703708</v>
      </c>
      <c r="I91" s="62">
        <v>85283.024691358019</v>
      </c>
      <c r="J91" s="62">
        <v>91252.777777777781</v>
      </c>
      <c r="K91" s="63">
        <v>97640.432098765436</v>
      </c>
      <c r="L91" s="66">
        <f t="shared" si="16"/>
        <v>338702.13097599999</v>
      </c>
      <c r="M91" s="66">
        <v>60126.51</v>
      </c>
      <c r="N91" s="66">
        <f>M91*1.06</f>
        <v>63734.100600000005</v>
      </c>
      <c r="O91" s="91">
        <v>69054.23</v>
      </c>
      <c r="P91" s="91">
        <f>O91*1.04</f>
        <v>71816.3992</v>
      </c>
      <c r="Q91" s="91">
        <f>P91*1.03</f>
        <v>73970.891176000005</v>
      </c>
      <c r="R91" s="91">
        <f>R19/R88/12*1000</f>
        <v>68200.987654320983</v>
      </c>
      <c r="S91" s="90">
        <f t="shared" si="20"/>
        <v>-853.24234567901294</v>
      </c>
      <c r="T91" s="90">
        <f t="shared" si="21"/>
        <v>-1.2356119902850455</v>
      </c>
    </row>
    <row r="92" spans="1:20">
      <c r="A92" s="9" t="s">
        <v>102</v>
      </c>
      <c r="B92" s="55" t="s">
        <v>103</v>
      </c>
      <c r="C92" s="17" t="s">
        <v>99</v>
      </c>
      <c r="D92" s="64">
        <v>68450.416666666672</v>
      </c>
      <c r="E92" s="64">
        <v>62213.888888888883</v>
      </c>
      <c r="F92" s="64">
        <v>80471.666666666657</v>
      </c>
      <c r="G92" s="64">
        <v>69966.666666666672</v>
      </c>
      <c r="H92" s="64">
        <v>74863.888888888891</v>
      </c>
      <c r="I92" s="64">
        <v>80105.555555555562</v>
      </c>
      <c r="J92" s="64">
        <v>85711.111111111109</v>
      </c>
      <c r="K92" s="65">
        <v>91711.111111111109</v>
      </c>
      <c r="L92" s="66">
        <f t="shared" si="16"/>
        <v>403549.778704</v>
      </c>
      <c r="M92" s="66">
        <v>71623</v>
      </c>
      <c r="N92" s="66">
        <f>M92*1.06</f>
        <v>75920.38</v>
      </c>
      <c r="O92" s="91">
        <v>82285.42</v>
      </c>
      <c r="P92" s="91">
        <f>O92*1.04</f>
        <v>85576.836800000005</v>
      </c>
      <c r="Q92" s="91">
        <f>P92*1.03</f>
        <v>88144.141904000004</v>
      </c>
      <c r="R92" s="91">
        <f>R37/R89/12*1000</f>
        <v>84394.583333333328</v>
      </c>
      <c r="S92" s="90">
        <f t="shared" si="20"/>
        <v>2109.1633333333302</v>
      </c>
      <c r="T92" s="90">
        <f t="shared" si="21"/>
        <v>2.5632284958056122</v>
      </c>
    </row>
    <row r="93" spans="1:20">
      <c r="B93" s="3"/>
      <c r="C93" s="3"/>
      <c r="D93" s="3"/>
      <c r="E93" s="3"/>
      <c r="F93" s="4"/>
    </row>
    <row r="94" spans="1:20">
      <c r="B94" s="3"/>
      <c r="C94" s="3"/>
      <c r="D94" s="3"/>
      <c r="E94" s="3"/>
      <c r="F94" s="4"/>
    </row>
    <row r="95" spans="1:20" ht="15.75">
      <c r="B95" s="5"/>
      <c r="C95" s="6"/>
      <c r="D95" s="2"/>
      <c r="E95" s="2"/>
    </row>
  </sheetData>
  <mergeCells count="3">
    <mergeCell ref="N2:Q2"/>
    <mergeCell ref="L6:Q6"/>
    <mergeCell ref="A4:T4"/>
  </mergeCells>
  <pageMargins left="0.51181102362204722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3"/>
  <sheetViews>
    <sheetView workbookViewId="0">
      <selection activeCell="T51" sqref="T51"/>
    </sheetView>
  </sheetViews>
  <sheetFormatPr defaultRowHeight="15"/>
  <cols>
    <col min="1" max="1" width="5.85546875" style="1" customWidth="1"/>
    <col min="2" max="2" width="40.42578125" style="1" customWidth="1"/>
    <col min="3" max="3" width="12.7109375" style="1" customWidth="1"/>
    <col min="4" max="4" width="0.28515625" style="1" hidden="1" customWidth="1"/>
    <col min="5" max="5" width="13.28515625" style="1" hidden="1" customWidth="1"/>
    <col min="6" max="6" width="11.140625" style="1" hidden="1" customWidth="1"/>
    <col min="7" max="7" width="12.85546875" style="1" hidden="1" customWidth="1"/>
    <col min="8" max="8" width="12.140625" style="1" hidden="1" customWidth="1"/>
    <col min="9" max="10" width="11.5703125" style="1" hidden="1" customWidth="1"/>
    <col min="11" max="11" width="11.140625" style="1" hidden="1" customWidth="1"/>
    <col min="12" max="12" width="11.85546875" style="1" hidden="1" customWidth="1"/>
    <col min="13" max="13" width="0.42578125" style="1" hidden="1" customWidth="1"/>
    <col min="14" max="14" width="12.7109375" style="1" hidden="1" customWidth="1"/>
    <col min="15" max="15" width="12.5703125" style="1" hidden="1" customWidth="1"/>
    <col min="16" max="16" width="13" style="1" customWidth="1"/>
    <col min="17" max="17" width="0.140625" style="1" hidden="1" customWidth="1"/>
    <col min="18" max="18" width="11.5703125" style="1" hidden="1" customWidth="1"/>
    <col min="19" max="19" width="11.85546875" style="1" hidden="1" customWidth="1"/>
    <col min="20" max="20" width="12.5703125" style="1" customWidth="1"/>
    <col min="21" max="21" width="13.28515625" style="1" customWidth="1"/>
    <col min="22" max="22" width="14" style="1" customWidth="1"/>
    <col min="23" max="256" width="9.140625" style="1"/>
    <col min="257" max="257" width="5.85546875" style="1" customWidth="1"/>
    <col min="258" max="258" width="40.42578125" style="1" customWidth="1"/>
    <col min="259" max="259" width="12.7109375" style="1" customWidth="1"/>
    <col min="260" max="271" width="0" style="1" hidden="1" customWidth="1"/>
    <col min="272" max="272" width="13" style="1" customWidth="1"/>
    <col min="273" max="275" width="0" style="1" hidden="1" customWidth="1"/>
    <col min="276" max="276" width="12.5703125" style="1" customWidth="1"/>
    <col min="277" max="277" width="13.28515625" style="1" customWidth="1"/>
    <col min="278" max="278" width="14" style="1" customWidth="1"/>
    <col min="279" max="512" width="9.140625" style="1"/>
    <col min="513" max="513" width="5.85546875" style="1" customWidth="1"/>
    <col min="514" max="514" width="40.42578125" style="1" customWidth="1"/>
    <col min="515" max="515" width="12.7109375" style="1" customWidth="1"/>
    <col min="516" max="527" width="0" style="1" hidden="1" customWidth="1"/>
    <col min="528" max="528" width="13" style="1" customWidth="1"/>
    <col min="529" max="531" width="0" style="1" hidden="1" customWidth="1"/>
    <col min="532" max="532" width="12.5703125" style="1" customWidth="1"/>
    <col min="533" max="533" width="13.28515625" style="1" customWidth="1"/>
    <col min="534" max="534" width="14" style="1" customWidth="1"/>
    <col min="535" max="768" width="9.140625" style="1"/>
    <col min="769" max="769" width="5.85546875" style="1" customWidth="1"/>
    <col min="770" max="770" width="40.42578125" style="1" customWidth="1"/>
    <col min="771" max="771" width="12.7109375" style="1" customWidth="1"/>
    <col min="772" max="783" width="0" style="1" hidden="1" customWidth="1"/>
    <col min="784" max="784" width="13" style="1" customWidth="1"/>
    <col min="785" max="787" width="0" style="1" hidden="1" customWidth="1"/>
    <col min="788" max="788" width="12.5703125" style="1" customWidth="1"/>
    <col min="789" max="789" width="13.28515625" style="1" customWidth="1"/>
    <col min="790" max="790" width="14" style="1" customWidth="1"/>
    <col min="791" max="1024" width="9.140625" style="1"/>
    <col min="1025" max="1025" width="5.85546875" style="1" customWidth="1"/>
    <col min="1026" max="1026" width="40.42578125" style="1" customWidth="1"/>
    <col min="1027" max="1027" width="12.7109375" style="1" customWidth="1"/>
    <col min="1028" max="1039" width="0" style="1" hidden="1" customWidth="1"/>
    <col min="1040" max="1040" width="13" style="1" customWidth="1"/>
    <col min="1041" max="1043" width="0" style="1" hidden="1" customWidth="1"/>
    <col min="1044" max="1044" width="12.5703125" style="1" customWidth="1"/>
    <col min="1045" max="1045" width="13.28515625" style="1" customWidth="1"/>
    <col min="1046" max="1046" width="14" style="1" customWidth="1"/>
    <col min="1047" max="1280" width="9.140625" style="1"/>
    <col min="1281" max="1281" width="5.85546875" style="1" customWidth="1"/>
    <col min="1282" max="1282" width="40.42578125" style="1" customWidth="1"/>
    <col min="1283" max="1283" width="12.7109375" style="1" customWidth="1"/>
    <col min="1284" max="1295" width="0" style="1" hidden="1" customWidth="1"/>
    <col min="1296" max="1296" width="13" style="1" customWidth="1"/>
    <col min="1297" max="1299" width="0" style="1" hidden="1" customWidth="1"/>
    <col min="1300" max="1300" width="12.5703125" style="1" customWidth="1"/>
    <col min="1301" max="1301" width="13.28515625" style="1" customWidth="1"/>
    <col min="1302" max="1302" width="14" style="1" customWidth="1"/>
    <col min="1303" max="1536" width="9.140625" style="1"/>
    <col min="1537" max="1537" width="5.85546875" style="1" customWidth="1"/>
    <col min="1538" max="1538" width="40.42578125" style="1" customWidth="1"/>
    <col min="1539" max="1539" width="12.7109375" style="1" customWidth="1"/>
    <col min="1540" max="1551" width="0" style="1" hidden="1" customWidth="1"/>
    <col min="1552" max="1552" width="13" style="1" customWidth="1"/>
    <col min="1553" max="1555" width="0" style="1" hidden="1" customWidth="1"/>
    <col min="1556" max="1556" width="12.5703125" style="1" customWidth="1"/>
    <col min="1557" max="1557" width="13.28515625" style="1" customWidth="1"/>
    <col min="1558" max="1558" width="14" style="1" customWidth="1"/>
    <col min="1559" max="1792" width="9.140625" style="1"/>
    <col min="1793" max="1793" width="5.85546875" style="1" customWidth="1"/>
    <col min="1794" max="1794" width="40.42578125" style="1" customWidth="1"/>
    <col min="1795" max="1795" width="12.7109375" style="1" customWidth="1"/>
    <col min="1796" max="1807" width="0" style="1" hidden="1" customWidth="1"/>
    <col min="1808" max="1808" width="13" style="1" customWidth="1"/>
    <col min="1809" max="1811" width="0" style="1" hidden="1" customWidth="1"/>
    <col min="1812" max="1812" width="12.5703125" style="1" customWidth="1"/>
    <col min="1813" max="1813" width="13.28515625" style="1" customWidth="1"/>
    <col min="1814" max="1814" width="14" style="1" customWidth="1"/>
    <col min="1815" max="2048" width="9.140625" style="1"/>
    <col min="2049" max="2049" width="5.85546875" style="1" customWidth="1"/>
    <col min="2050" max="2050" width="40.42578125" style="1" customWidth="1"/>
    <col min="2051" max="2051" width="12.7109375" style="1" customWidth="1"/>
    <col min="2052" max="2063" width="0" style="1" hidden="1" customWidth="1"/>
    <col min="2064" max="2064" width="13" style="1" customWidth="1"/>
    <col min="2065" max="2067" width="0" style="1" hidden="1" customWidth="1"/>
    <col min="2068" max="2068" width="12.5703125" style="1" customWidth="1"/>
    <col min="2069" max="2069" width="13.28515625" style="1" customWidth="1"/>
    <col min="2070" max="2070" width="14" style="1" customWidth="1"/>
    <col min="2071" max="2304" width="9.140625" style="1"/>
    <col min="2305" max="2305" width="5.85546875" style="1" customWidth="1"/>
    <col min="2306" max="2306" width="40.42578125" style="1" customWidth="1"/>
    <col min="2307" max="2307" width="12.7109375" style="1" customWidth="1"/>
    <col min="2308" max="2319" width="0" style="1" hidden="1" customWidth="1"/>
    <col min="2320" max="2320" width="13" style="1" customWidth="1"/>
    <col min="2321" max="2323" width="0" style="1" hidden="1" customWidth="1"/>
    <col min="2324" max="2324" width="12.5703125" style="1" customWidth="1"/>
    <col min="2325" max="2325" width="13.28515625" style="1" customWidth="1"/>
    <col min="2326" max="2326" width="14" style="1" customWidth="1"/>
    <col min="2327" max="2560" width="9.140625" style="1"/>
    <col min="2561" max="2561" width="5.85546875" style="1" customWidth="1"/>
    <col min="2562" max="2562" width="40.42578125" style="1" customWidth="1"/>
    <col min="2563" max="2563" width="12.7109375" style="1" customWidth="1"/>
    <col min="2564" max="2575" width="0" style="1" hidden="1" customWidth="1"/>
    <col min="2576" max="2576" width="13" style="1" customWidth="1"/>
    <col min="2577" max="2579" width="0" style="1" hidden="1" customWidth="1"/>
    <col min="2580" max="2580" width="12.5703125" style="1" customWidth="1"/>
    <col min="2581" max="2581" width="13.28515625" style="1" customWidth="1"/>
    <col min="2582" max="2582" width="14" style="1" customWidth="1"/>
    <col min="2583" max="2816" width="9.140625" style="1"/>
    <col min="2817" max="2817" width="5.85546875" style="1" customWidth="1"/>
    <col min="2818" max="2818" width="40.42578125" style="1" customWidth="1"/>
    <col min="2819" max="2819" width="12.7109375" style="1" customWidth="1"/>
    <col min="2820" max="2831" width="0" style="1" hidden="1" customWidth="1"/>
    <col min="2832" max="2832" width="13" style="1" customWidth="1"/>
    <col min="2833" max="2835" width="0" style="1" hidden="1" customWidth="1"/>
    <col min="2836" max="2836" width="12.5703125" style="1" customWidth="1"/>
    <col min="2837" max="2837" width="13.28515625" style="1" customWidth="1"/>
    <col min="2838" max="2838" width="14" style="1" customWidth="1"/>
    <col min="2839" max="3072" width="9.140625" style="1"/>
    <col min="3073" max="3073" width="5.85546875" style="1" customWidth="1"/>
    <col min="3074" max="3074" width="40.42578125" style="1" customWidth="1"/>
    <col min="3075" max="3075" width="12.7109375" style="1" customWidth="1"/>
    <col min="3076" max="3087" width="0" style="1" hidden="1" customWidth="1"/>
    <col min="3088" max="3088" width="13" style="1" customWidth="1"/>
    <col min="3089" max="3091" width="0" style="1" hidden="1" customWidth="1"/>
    <col min="3092" max="3092" width="12.5703125" style="1" customWidth="1"/>
    <col min="3093" max="3093" width="13.28515625" style="1" customWidth="1"/>
    <col min="3094" max="3094" width="14" style="1" customWidth="1"/>
    <col min="3095" max="3328" width="9.140625" style="1"/>
    <col min="3329" max="3329" width="5.85546875" style="1" customWidth="1"/>
    <col min="3330" max="3330" width="40.42578125" style="1" customWidth="1"/>
    <col min="3331" max="3331" width="12.7109375" style="1" customWidth="1"/>
    <col min="3332" max="3343" width="0" style="1" hidden="1" customWidth="1"/>
    <col min="3344" max="3344" width="13" style="1" customWidth="1"/>
    <col min="3345" max="3347" width="0" style="1" hidden="1" customWidth="1"/>
    <col min="3348" max="3348" width="12.5703125" style="1" customWidth="1"/>
    <col min="3349" max="3349" width="13.28515625" style="1" customWidth="1"/>
    <col min="3350" max="3350" width="14" style="1" customWidth="1"/>
    <col min="3351" max="3584" width="9.140625" style="1"/>
    <col min="3585" max="3585" width="5.85546875" style="1" customWidth="1"/>
    <col min="3586" max="3586" width="40.42578125" style="1" customWidth="1"/>
    <col min="3587" max="3587" width="12.7109375" style="1" customWidth="1"/>
    <col min="3588" max="3599" width="0" style="1" hidden="1" customWidth="1"/>
    <col min="3600" max="3600" width="13" style="1" customWidth="1"/>
    <col min="3601" max="3603" width="0" style="1" hidden="1" customWidth="1"/>
    <col min="3604" max="3604" width="12.5703125" style="1" customWidth="1"/>
    <col min="3605" max="3605" width="13.28515625" style="1" customWidth="1"/>
    <col min="3606" max="3606" width="14" style="1" customWidth="1"/>
    <col min="3607" max="3840" width="9.140625" style="1"/>
    <col min="3841" max="3841" width="5.85546875" style="1" customWidth="1"/>
    <col min="3842" max="3842" width="40.42578125" style="1" customWidth="1"/>
    <col min="3843" max="3843" width="12.7109375" style="1" customWidth="1"/>
    <col min="3844" max="3855" width="0" style="1" hidden="1" customWidth="1"/>
    <col min="3856" max="3856" width="13" style="1" customWidth="1"/>
    <col min="3857" max="3859" width="0" style="1" hidden="1" customWidth="1"/>
    <col min="3860" max="3860" width="12.5703125" style="1" customWidth="1"/>
    <col min="3861" max="3861" width="13.28515625" style="1" customWidth="1"/>
    <col min="3862" max="3862" width="14" style="1" customWidth="1"/>
    <col min="3863" max="4096" width="9.140625" style="1"/>
    <col min="4097" max="4097" width="5.85546875" style="1" customWidth="1"/>
    <col min="4098" max="4098" width="40.42578125" style="1" customWidth="1"/>
    <col min="4099" max="4099" width="12.7109375" style="1" customWidth="1"/>
    <col min="4100" max="4111" width="0" style="1" hidden="1" customWidth="1"/>
    <col min="4112" max="4112" width="13" style="1" customWidth="1"/>
    <col min="4113" max="4115" width="0" style="1" hidden="1" customWidth="1"/>
    <col min="4116" max="4116" width="12.5703125" style="1" customWidth="1"/>
    <col min="4117" max="4117" width="13.28515625" style="1" customWidth="1"/>
    <col min="4118" max="4118" width="14" style="1" customWidth="1"/>
    <col min="4119" max="4352" width="9.140625" style="1"/>
    <col min="4353" max="4353" width="5.85546875" style="1" customWidth="1"/>
    <col min="4354" max="4354" width="40.42578125" style="1" customWidth="1"/>
    <col min="4355" max="4355" width="12.7109375" style="1" customWidth="1"/>
    <col min="4356" max="4367" width="0" style="1" hidden="1" customWidth="1"/>
    <col min="4368" max="4368" width="13" style="1" customWidth="1"/>
    <col min="4369" max="4371" width="0" style="1" hidden="1" customWidth="1"/>
    <col min="4372" max="4372" width="12.5703125" style="1" customWidth="1"/>
    <col min="4373" max="4373" width="13.28515625" style="1" customWidth="1"/>
    <col min="4374" max="4374" width="14" style="1" customWidth="1"/>
    <col min="4375" max="4608" width="9.140625" style="1"/>
    <col min="4609" max="4609" width="5.85546875" style="1" customWidth="1"/>
    <col min="4610" max="4610" width="40.42578125" style="1" customWidth="1"/>
    <col min="4611" max="4611" width="12.7109375" style="1" customWidth="1"/>
    <col min="4612" max="4623" width="0" style="1" hidden="1" customWidth="1"/>
    <col min="4624" max="4624" width="13" style="1" customWidth="1"/>
    <col min="4625" max="4627" width="0" style="1" hidden="1" customWidth="1"/>
    <col min="4628" max="4628" width="12.5703125" style="1" customWidth="1"/>
    <col min="4629" max="4629" width="13.28515625" style="1" customWidth="1"/>
    <col min="4630" max="4630" width="14" style="1" customWidth="1"/>
    <col min="4631" max="4864" width="9.140625" style="1"/>
    <col min="4865" max="4865" width="5.85546875" style="1" customWidth="1"/>
    <col min="4866" max="4866" width="40.42578125" style="1" customWidth="1"/>
    <col min="4867" max="4867" width="12.7109375" style="1" customWidth="1"/>
    <col min="4868" max="4879" width="0" style="1" hidden="1" customWidth="1"/>
    <col min="4880" max="4880" width="13" style="1" customWidth="1"/>
    <col min="4881" max="4883" width="0" style="1" hidden="1" customWidth="1"/>
    <col min="4884" max="4884" width="12.5703125" style="1" customWidth="1"/>
    <col min="4885" max="4885" width="13.28515625" style="1" customWidth="1"/>
    <col min="4886" max="4886" width="14" style="1" customWidth="1"/>
    <col min="4887" max="5120" width="9.140625" style="1"/>
    <col min="5121" max="5121" width="5.85546875" style="1" customWidth="1"/>
    <col min="5122" max="5122" width="40.42578125" style="1" customWidth="1"/>
    <col min="5123" max="5123" width="12.7109375" style="1" customWidth="1"/>
    <col min="5124" max="5135" width="0" style="1" hidden="1" customWidth="1"/>
    <col min="5136" max="5136" width="13" style="1" customWidth="1"/>
    <col min="5137" max="5139" width="0" style="1" hidden="1" customWidth="1"/>
    <col min="5140" max="5140" width="12.5703125" style="1" customWidth="1"/>
    <col min="5141" max="5141" width="13.28515625" style="1" customWidth="1"/>
    <col min="5142" max="5142" width="14" style="1" customWidth="1"/>
    <col min="5143" max="5376" width="9.140625" style="1"/>
    <col min="5377" max="5377" width="5.85546875" style="1" customWidth="1"/>
    <col min="5378" max="5378" width="40.42578125" style="1" customWidth="1"/>
    <col min="5379" max="5379" width="12.7109375" style="1" customWidth="1"/>
    <col min="5380" max="5391" width="0" style="1" hidden="1" customWidth="1"/>
    <col min="5392" max="5392" width="13" style="1" customWidth="1"/>
    <col min="5393" max="5395" width="0" style="1" hidden="1" customWidth="1"/>
    <col min="5396" max="5396" width="12.5703125" style="1" customWidth="1"/>
    <col min="5397" max="5397" width="13.28515625" style="1" customWidth="1"/>
    <col min="5398" max="5398" width="14" style="1" customWidth="1"/>
    <col min="5399" max="5632" width="9.140625" style="1"/>
    <col min="5633" max="5633" width="5.85546875" style="1" customWidth="1"/>
    <col min="5634" max="5634" width="40.42578125" style="1" customWidth="1"/>
    <col min="5635" max="5635" width="12.7109375" style="1" customWidth="1"/>
    <col min="5636" max="5647" width="0" style="1" hidden="1" customWidth="1"/>
    <col min="5648" max="5648" width="13" style="1" customWidth="1"/>
    <col min="5649" max="5651" width="0" style="1" hidden="1" customWidth="1"/>
    <col min="5652" max="5652" width="12.5703125" style="1" customWidth="1"/>
    <col min="5653" max="5653" width="13.28515625" style="1" customWidth="1"/>
    <col min="5654" max="5654" width="14" style="1" customWidth="1"/>
    <col min="5655" max="5888" width="9.140625" style="1"/>
    <col min="5889" max="5889" width="5.85546875" style="1" customWidth="1"/>
    <col min="5890" max="5890" width="40.42578125" style="1" customWidth="1"/>
    <col min="5891" max="5891" width="12.7109375" style="1" customWidth="1"/>
    <col min="5892" max="5903" width="0" style="1" hidden="1" customWidth="1"/>
    <col min="5904" max="5904" width="13" style="1" customWidth="1"/>
    <col min="5905" max="5907" width="0" style="1" hidden="1" customWidth="1"/>
    <col min="5908" max="5908" width="12.5703125" style="1" customWidth="1"/>
    <col min="5909" max="5909" width="13.28515625" style="1" customWidth="1"/>
    <col min="5910" max="5910" width="14" style="1" customWidth="1"/>
    <col min="5911" max="6144" width="9.140625" style="1"/>
    <col min="6145" max="6145" width="5.85546875" style="1" customWidth="1"/>
    <col min="6146" max="6146" width="40.42578125" style="1" customWidth="1"/>
    <col min="6147" max="6147" width="12.7109375" style="1" customWidth="1"/>
    <col min="6148" max="6159" width="0" style="1" hidden="1" customWidth="1"/>
    <col min="6160" max="6160" width="13" style="1" customWidth="1"/>
    <col min="6161" max="6163" width="0" style="1" hidden="1" customWidth="1"/>
    <col min="6164" max="6164" width="12.5703125" style="1" customWidth="1"/>
    <col min="6165" max="6165" width="13.28515625" style="1" customWidth="1"/>
    <col min="6166" max="6166" width="14" style="1" customWidth="1"/>
    <col min="6167" max="6400" width="9.140625" style="1"/>
    <col min="6401" max="6401" width="5.85546875" style="1" customWidth="1"/>
    <col min="6402" max="6402" width="40.42578125" style="1" customWidth="1"/>
    <col min="6403" max="6403" width="12.7109375" style="1" customWidth="1"/>
    <col min="6404" max="6415" width="0" style="1" hidden="1" customWidth="1"/>
    <col min="6416" max="6416" width="13" style="1" customWidth="1"/>
    <col min="6417" max="6419" width="0" style="1" hidden="1" customWidth="1"/>
    <col min="6420" max="6420" width="12.5703125" style="1" customWidth="1"/>
    <col min="6421" max="6421" width="13.28515625" style="1" customWidth="1"/>
    <col min="6422" max="6422" width="14" style="1" customWidth="1"/>
    <col min="6423" max="6656" width="9.140625" style="1"/>
    <col min="6657" max="6657" width="5.85546875" style="1" customWidth="1"/>
    <col min="6658" max="6658" width="40.42578125" style="1" customWidth="1"/>
    <col min="6659" max="6659" width="12.7109375" style="1" customWidth="1"/>
    <col min="6660" max="6671" width="0" style="1" hidden="1" customWidth="1"/>
    <col min="6672" max="6672" width="13" style="1" customWidth="1"/>
    <col min="6673" max="6675" width="0" style="1" hidden="1" customWidth="1"/>
    <col min="6676" max="6676" width="12.5703125" style="1" customWidth="1"/>
    <col min="6677" max="6677" width="13.28515625" style="1" customWidth="1"/>
    <col min="6678" max="6678" width="14" style="1" customWidth="1"/>
    <col min="6679" max="6912" width="9.140625" style="1"/>
    <col min="6913" max="6913" width="5.85546875" style="1" customWidth="1"/>
    <col min="6914" max="6914" width="40.42578125" style="1" customWidth="1"/>
    <col min="6915" max="6915" width="12.7109375" style="1" customWidth="1"/>
    <col min="6916" max="6927" width="0" style="1" hidden="1" customWidth="1"/>
    <col min="6928" max="6928" width="13" style="1" customWidth="1"/>
    <col min="6929" max="6931" width="0" style="1" hidden="1" customWidth="1"/>
    <col min="6932" max="6932" width="12.5703125" style="1" customWidth="1"/>
    <col min="6933" max="6933" width="13.28515625" style="1" customWidth="1"/>
    <col min="6934" max="6934" width="14" style="1" customWidth="1"/>
    <col min="6935" max="7168" width="9.140625" style="1"/>
    <col min="7169" max="7169" width="5.85546875" style="1" customWidth="1"/>
    <col min="7170" max="7170" width="40.42578125" style="1" customWidth="1"/>
    <col min="7171" max="7171" width="12.7109375" style="1" customWidth="1"/>
    <col min="7172" max="7183" width="0" style="1" hidden="1" customWidth="1"/>
    <col min="7184" max="7184" width="13" style="1" customWidth="1"/>
    <col min="7185" max="7187" width="0" style="1" hidden="1" customWidth="1"/>
    <col min="7188" max="7188" width="12.5703125" style="1" customWidth="1"/>
    <col min="7189" max="7189" width="13.28515625" style="1" customWidth="1"/>
    <col min="7190" max="7190" width="14" style="1" customWidth="1"/>
    <col min="7191" max="7424" width="9.140625" style="1"/>
    <col min="7425" max="7425" width="5.85546875" style="1" customWidth="1"/>
    <col min="7426" max="7426" width="40.42578125" style="1" customWidth="1"/>
    <col min="7427" max="7427" width="12.7109375" style="1" customWidth="1"/>
    <col min="7428" max="7439" width="0" style="1" hidden="1" customWidth="1"/>
    <col min="7440" max="7440" width="13" style="1" customWidth="1"/>
    <col min="7441" max="7443" width="0" style="1" hidden="1" customWidth="1"/>
    <col min="7444" max="7444" width="12.5703125" style="1" customWidth="1"/>
    <col min="7445" max="7445" width="13.28515625" style="1" customWidth="1"/>
    <col min="7446" max="7446" width="14" style="1" customWidth="1"/>
    <col min="7447" max="7680" width="9.140625" style="1"/>
    <col min="7681" max="7681" width="5.85546875" style="1" customWidth="1"/>
    <col min="7682" max="7682" width="40.42578125" style="1" customWidth="1"/>
    <col min="7683" max="7683" width="12.7109375" style="1" customWidth="1"/>
    <col min="7684" max="7695" width="0" style="1" hidden="1" customWidth="1"/>
    <col min="7696" max="7696" width="13" style="1" customWidth="1"/>
    <col min="7697" max="7699" width="0" style="1" hidden="1" customWidth="1"/>
    <col min="7700" max="7700" width="12.5703125" style="1" customWidth="1"/>
    <col min="7701" max="7701" width="13.28515625" style="1" customWidth="1"/>
    <col min="7702" max="7702" width="14" style="1" customWidth="1"/>
    <col min="7703" max="7936" width="9.140625" style="1"/>
    <col min="7937" max="7937" width="5.85546875" style="1" customWidth="1"/>
    <col min="7938" max="7938" width="40.42578125" style="1" customWidth="1"/>
    <col min="7939" max="7939" width="12.7109375" style="1" customWidth="1"/>
    <col min="7940" max="7951" width="0" style="1" hidden="1" customWidth="1"/>
    <col min="7952" max="7952" width="13" style="1" customWidth="1"/>
    <col min="7953" max="7955" width="0" style="1" hidden="1" customWidth="1"/>
    <col min="7956" max="7956" width="12.5703125" style="1" customWidth="1"/>
    <col min="7957" max="7957" width="13.28515625" style="1" customWidth="1"/>
    <col min="7958" max="7958" width="14" style="1" customWidth="1"/>
    <col min="7959" max="8192" width="9.140625" style="1"/>
    <col min="8193" max="8193" width="5.85546875" style="1" customWidth="1"/>
    <col min="8194" max="8194" width="40.42578125" style="1" customWidth="1"/>
    <col min="8195" max="8195" width="12.7109375" style="1" customWidth="1"/>
    <col min="8196" max="8207" width="0" style="1" hidden="1" customWidth="1"/>
    <col min="8208" max="8208" width="13" style="1" customWidth="1"/>
    <col min="8209" max="8211" width="0" style="1" hidden="1" customWidth="1"/>
    <col min="8212" max="8212" width="12.5703125" style="1" customWidth="1"/>
    <col min="8213" max="8213" width="13.28515625" style="1" customWidth="1"/>
    <col min="8214" max="8214" width="14" style="1" customWidth="1"/>
    <col min="8215" max="8448" width="9.140625" style="1"/>
    <col min="8449" max="8449" width="5.85546875" style="1" customWidth="1"/>
    <col min="8450" max="8450" width="40.42578125" style="1" customWidth="1"/>
    <col min="8451" max="8451" width="12.7109375" style="1" customWidth="1"/>
    <col min="8452" max="8463" width="0" style="1" hidden="1" customWidth="1"/>
    <col min="8464" max="8464" width="13" style="1" customWidth="1"/>
    <col min="8465" max="8467" width="0" style="1" hidden="1" customWidth="1"/>
    <col min="8468" max="8468" width="12.5703125" style="1" customWidth="1"/>
    <col min="8469" max="8469" width="13.28515625" style="1" customWidth="1"/>
    <col min="8470" max="8470" width="14" style="1" customWidth="1"/>
    <col min="8471" max="8704" width="9.140625" style="1"/>
    <col min="8705" max="8705" width="5.85546875" style="1" customWidth="1"/>
    <col min="8706" max="8706" width="40.42578125" style="1" customWidth="1"/>
    <col min="8707" max="8707" width="12.7109375" style="1" customWidth="1"/>
    <col min="8708" max="8719" width="0" style="1" hidden="1" customWidth="1"/>
    <col min="8720" max="8720" width="13" style="1" customWidth="1"/>
    <col min="8721" max="8723" width="0" style="1" hidden="1" customWidth="1"/>
    <col min="8724" max="8724" width="12.5703125" style="1" customWidth="1"/>
    <col min="8725" max="8725" width="13.28515625" style="1" customWidth="1"/>
    <col min="8726" max="8726" width="14" style="1" customWidth="1"/>
    <col min="8727" max="8960" width="9.140625" style="1"/>
    <col min="8961" max="8961" width="5.85546875" style="1" customWidth="1"/>
    <col min="8962" max="8962" width="40.42578125" style="1" customWidth="1"/>
    <col min="8963" max="8963" width="12.7109375" style="1" customWidth="1"/>
    <col min="8964" max="8975" width="0" style="1" hidden="1" customWidth="1"/>
    <col min="8976" max="8976" width="13" style="1" customWidth="1"/>
    <col min="8977" max="8979" width="0" style="1" hidden="1" customWidth="1"/>
    <col min="8980" max="8980" width="12.5703125" style="1" customWidth="1"/>
    <col min="8981" max="8981" width="13.28515625" style="1" customWidth="1"/>
    <col min="8982" max="8982" width="14" style="1" customWidth="1"/>
    <col min="8983" max="9216" width="9.140625" style="1"/>
    <col min="9217" max="9217" width="5.85546875" style="1" customWidth="1"/>
    <col min="9218" max="9218" width="40.42578125" style="1" customWidth="1"/>
    <col min="9219" max="9219" width="12.7109375" style="1" customWidth="1"/>
    <col min="9220" max="9231" width="0" style="1" hidden="1" customWidth="1"/>
    <col min="9232" max="9232" width="13" style="1" customWidth="1"/>
    <col min="9233" max="9235" width="0" style="1" hidden="1" customWidth="1"/>
    <col min="9236" max="9236" width="12.5703125" style="1" customWidth="1"/>
    <col min="9237" max="9237" width="13.28515625" style="1" customWidth="1"/>
    <col min="9238" max="9238" width="14" style="1" customWidth="1"/>
    <col min="9239" max="9472" width="9.140625" style="1"/>
    <col min="9473" max="9473" width="5.85546875" style="1" customWidth="1"/>
    <col min="9474" max="9474" width="40.42578125" style="1" customWidth="1"/>
    <col min="9475" max="9475" width="12.7109375" style="1" customWidth="1"/>
    <col min="9476" max="9487" width="0" style="1" hidden="1" customWidth="1"/>
    <col min="9488" max="9488" width="13" style="1" customWidth="1"/>
    <col min="9489" max="9491" width="0" style="1" hidden="1" customWidth="1"/>
    <col min="9492" max="9492" width="12.5703125" style="1" customWidth="1"/>
    <col min="9493" max="9493" width="13.28515625" style="1" customWidth="1"/>
    <col min="9494" max="9494" width="14" style="1" customWidth="1"/>
    <col min="9495" max="9728" width="9.140625" style="1"/>
    <col min="9729" max="9729" width="5.85546875" style="1" customWidth="1"/>
    <col min="9730" max="9730" width="40.42578125" style="1" customWidth="1"/>
    <col min="9731" max="9731" width="12.7109375" style="1" customWidth="1"/>
    <col min="9732" max="9743" width="0" style="1" hidden="1" customWidth="1"/>
    <col min="9744" max="9744" width="13" style="1" customWidth="1"/>
    <col min="9745" max="9747" width="0" style="1" hidden="1" customWidth="1"/>
    <col min="9748" max="9748" width="12.5703125" style="1" customWidth="1"/>
    <col min="9749" max="9749" width="13.28515625" style="1" customWidth="1"/>
    <col min="9750" max="9750" width="14" style="1" customWidth="1"/>
    <col min="9751" max="9984" width="9.140625" style="1"/>
    <col min="9985" max="9985" width="5.85546875" style="1" customWidth="1"/>
    <col min="9986" max="9986" width="40.42578125" style="1" customWidth="1"/>
    <col min="9987" max="9987" width="12.7109375" style="1" customWidth="1"/>
    <col min="9988" max="9999" width="0" style="1" hidden="1" customWidth="1"/>
    <col min="10000" max="10000" width="13" style="1" customWidth="1"/>
    <col min="10001" max="10003" width="0" style="1" hidden="1" customWidth="1"/>
    <col min="10004" max="10004" width="12.5703125" style="1" customWidth="1"/>
    <col min="10005" max="10005" width="13.28515625" style="1" customWidth="1"/>
    <col min="10006" max="10006" width="14" style="1" customWidth="1"/>
    <col min="10007" max="10240" width="9.140625" style="1"/>
    <col min="10241" max="10241" width="5.85546875" style="1" customWidth="1"/>
    <col min="10242" max="10242" width="40.42578125" style="1" customWidth="1"/>
    <col min="10243" max="10243" width="12.7109375" style="1" customWidth="1"/>
    <col min="10244" max="10255" width="0" style="1" hidden="1" customWidth="1"/>
    <col min="10256" max="10256" width="13" style="1" customWidth="1"/>
    <col min="10257" max="10259" width="0" style="1" hidden="1" customWidth="1"/>
    <col min="10260" max="10260" width="12.5703125" style="1" customWidth="1"/>
    <col min="10261" max="10261" width="13.28515625" style="1" customWidth="1"/>
    <col min="10262" max="10262" width="14" style="1" customWidth="1"/>
    <col min="10263" max="10496" width="9.140625" style="1"/>
    <col min="10497" max="10497" width="5.85546875" style="1" customWidth="1"/>
    <col min="10498" max="10498" width="40.42578125" style="1" customWidth="1"/>
    <col min="10499" max="10499" width="12.7109375" style="1" customWidth="1"/>
    <col min="10500" max="10511" width="0" style="1" hidden="1" customWidth="1"/>
    <col min="10512" max="10512" width="13" style="1" customWidth="1"/>
    <col min="10513" max="10515" width="0" style="1" hidden="1" customWidth="1"/>
    <col min="10516" max="10516" width="12.5703125" style="1" customWidth="1"/>
    <col min="10517" max="10517" width="13.28515625" style="1" customWidth="1"/>
    <col min="10518" max="10518" width="14" style="1" customWidth="1"/>
    <col min="10519" max="10752" width="9.140625" style="1"/>
    <col min="10753" max="10753" width="5.85546875" style="1" customWidth="1"/>
    <col min="10754" max="10754" width="40.42578125" style="1" customWidth="1"/>
    <col min="10755" max="10755" width="12.7109375" style="1" customWidth="1"/>
    <col min="10756" max="10767" width="0" style="1" hidden="1" customWidth="1"/>
    <col min="10768" max="10768" width="13" style="1" customWidth="1"/>
    <col min="10769" max="10771" width="0" style="1" hidden="1" customWidth="1"/>
    <col min="10772" max="10772" width="12.5703125" style="1" customWidth="1"/>
    <col min="10773" max="10773" width="13.28515625" style="1" customWidth="1"/>
    <col min="10774" max="10774" width="14" style="1" customWidth="1"/>
    <col min="10775" max="11008" width="9.140625" style="1"/>
    <col min="11009" max="11009" width="5.85546875" style="1" customWidth="1"/>
    <col min="11010" max="11010" width="40.42578125" style="1" customWidth="1"/>
    <col min="11011" max="11011" width="12.7109375" style="1" customWidth="1"/>
    <col min="11012" max="11023" width="0" style="1" hidden="1" customWidth="1"/>
    <col min="11024" max="11024" width="13" style="1" customWidth="1"/>
    <col min="11025" max="11027" width="0" style="1" hidden="1" customWidth="1"/>
    <col min="11028" max="11028" width="12.5703125" style="1" customWidth="1"/>
    <col min="11029" max="11029" width="13.28515625" style="1" customWidth="1"/>
    <col min="11030" max="11030" width="14" style="1" customWidth="1"/>
    <col min="11031" max="11264" width="9.140625" style="1"/>
    <col min="11265" max="11265" width="5.85546875" style="1" customWidth="1"/>
    <col min="11266" max="11266" width="40.42578125" style="1" customWidth="1"/>
    <col min="11267" max="11267" width="12.7109375" style="1" customWidth="1"/>
    <col min="11268" max="11279" width="0" style="1" hidden="1" customWidth="1"/>
    <col min="11280" max="11280" width="13" style="1" customWidth="1"/>
    <col min="11281" max="11283" width="0" style="1" hidden="1" customWidth="1"/>
    <col min="11284" max="11284" width="12.5703125" style="1" customWidth="1"/>
    <col min="11285" max="11285" width="13.28515625" style="1" customWidth="1"/>
    <col min="11286" max="11286" width="14" style="1" customWidth="1"/>
    <col min="11287" max="11520" width="9.140625" style="1"/>
    <col min="11521" max="11521" width="5.85546875" style="1" customWidth="1"/>
    <col min="11522" max="11522" width="40.42578125" style="1" customWidth="1"/>
    <col min="11523" max="11523" width="12.7109375" style="1" customWidth="1"/>
    <col min="11524" max="11535" width="0" style="1" hidden="1" customWidth="1"/>
    <col min="11536" max="11536" width="13" style="1" customWidth="1"/>
    <col min="11537" max="11539" width="0" style="1" hidden="1" customWidth="1"/>
    <col min="11540" max="11540" width="12.5703125" style="1" customWidth="1"/>
    <col min="11541" max="11541" width="13.28515625" style="1" customWidth="1"/>
    <col min="11542" max="11542" width="14" style="1" customWidth="1"/>
    <col min="11543" max="11776" width="9.140625" style="1"/>
    <col min="11777" max="11777" width="5.85546875" style="1" customWidth="1"/>
    <col min="11778" max="11778" width="40.42578125" style="1" customWidth="1"/>
    <col min="11779" max="11779" width="12.7109375" style="1" customWidth="1"/>
    <col min="11780" max="11791" width="0" style="1" hidden="1" customWidth="1"/>
    <col min="11792" max="11792" width="13" style="1" customWidth="1"/>
    <col min="11793" max="11795" width="0" style="1" hidden="1" customWidth="1"/>
    <col min="11796" max="11796" width="12.5703125" style="1" customWidth="1"/>
    <col min="11797" max="11797" width="13.28515625" style="1" customWidth="1"/>
    <col min="11798" max="11798" width="14" style="1" customWidth="1"/>
    <col min="11799" max="12032" width="9.140625" style="1"/>
    <col min="12033" max="12033" width="5.85546875" style="1" customWidth="1"/>
    <col min="12034" max="12034" width="40.42578125" style="1" customWidth="1"/>
    <col min="12035" max="12035" width="12.7109375" style="1" customWidth="1"/>
    <col min="12036" max="12047" width="0" style="1" hidden="1" customWidth="1"/>
    <col min="12048" max="12048" width="13" style="1" customWidth="1"/>
    <col min="12049" max="12051" width="0" style="1" hidden="1" customWidth="1"/>
    <col min="12052" max="12052" width="12.5703125" style="1" customWidth="1"/>
    <col min="12053" max="12053" width="13.28515625" style="1" customWidth="1"/>
    <col min="12054" max="12054" width="14" style="1" customWidth="1"/>
    <col min="12055" max="12288" width="9.140625" style="1"/>
    <col min="12289" max="12289" width="5.85546875" style="1" customWidth="1"/>
    <col min="12290" max="12290" width="40.42578125" style="1" customWidth="1"/>
    <col min="12291" max="12291" width="12.7109375" style="1" customWidth="1"/>
    <col min="12292" max="12303" width="0" style="1" hidden="1" customWidth="1"/>
    <col min="12304" max="12304" width="13" style="1" customWidth="1"/>
    <col min="12305" max="12307" width="0" style="1" hidden="1" customWidth="1"/>
    <col min="12308" max="12308" width="12.5703125" style="1" customWidth="1"/>
    <col min="12309" max="12309" width="13.28515625" style="1" customWidth="1"/>
    <col min="12310" max="12310" width="14" style="1" customWidth="1"/>
    <col min="12311" max="12544" width="9.140625" style="1"/>
    <col min="12545" max="12545" width="5.85546875" style="1" customWidth="1"/>
    <col min="12546" max="12546" width="40.42578125" style="1" customWidth="1"/>
    <col min="12547" max="12547" width="12.7109375" style="1" customWidth="1"/>
    <col min="12548" max="12559" width="0" style="1" hidden="1" customWidth="1"/>
    <col min="12560" max="12560" width="13" style="1" customWidth="1"/>
    <col min="12561" max="12563" width="0" style="1" hidden="1" customWidth="1"/>
    <col min="12564" max="12564" width="12.5703125" style="1" customWidth="1"/>
    <col min="12565" max="12565" width="13.28515625" style="1" customWidth="1"/>
    <col min="12566" max="12566" width="14" style="1" customWidth="1"/>
    <col min="12567" max="12800" width="9.140625" style="1"/>
    <col min="12801" max="12801" width="5.85546875" style="1" customWidth="1"/>
    <col min="12802" max="12802" width="40.42578125" style="1" customWidth="1"/>
    <col min="12803" max="12803" width="12.7109375" style="1" customWidth="1"/>
    <col min="12804" max="12815" width="0" style="1" hidden="1" customWidth="1"/>
    <col min="12816" max="12816" width="13" style="1" customWidth="1"/>
    <col min="12817" max="12819" width="0" style="1" hidden="1" customWidth="1"/>
    <col min="12820" max="12820" width="12.5703125" style="1" customWidth="1"/>
    <col min="12821" max="12821" width="13.28515625" style="1" customWidth="1"/>
    <col min="12822" max="12822" width="14" style="1" customWidth="1"/>
    <col min="12823" max="13056" width="9.140625" style="1"/>
    <col min="13057" max="13057" width="5.85546875" style="1" customWidth="1"/>
    <col min="13058" max="13058" width="40.42578125" style="1" customWidth="1"/>
    <col min="13059" max="13059" width="12.7109375" style="1" customWidth="1"/>
    <col min="13060" max="13071" width="0" style="1" hidden="1" customWidth="1"/>
    <col min="13072" max="13072" width="13" style="1" customWidth="1"/>
    <col min="13073" max="13075" width="0" style="1" hidden="1" customWidth="1"/>
    <col min="13076" max="13076" width="12.5703125" style="1" customWidth="1"/>
    <col min="13077" max="13077" width="13.28515625" style="1" customWidth="1"/>
    <col min="13078" max="13078" width="14" style="1" customWidth="1"/>
    <col min="13079" max="13312" width="9.140625" style="1"/>
    <col min="13313" max="13313" width="5.85546875" style="1" customWidth="1"/>
    <col min="13314" max="13314" width="40.42578125" style="1" customWidth="1"/>
    <col min="13315" max="13315" width="12.7109375" style="1" customWidth="1"/>
    <col min="13316" max="13327" width="0" style="1" hidden="1" customWidth="1"/>
    <col min="13328" max="13328" width="13" style="1" customWidth="1"/>
    <col min="13329" max="13331" width="0" style="1" hidden="1" customWidth="1"/>
    <col min="13332" max="13332" width="12.5703125" style="1" customWidth="1"/>
    <col min="13333" max="13333" width="13.28515625" style="1" customWidth="1"/>
    <col min="13334" max="13334" width="14" style="1" customWidth="1"/>
    <col min="13335" max="13568" width="9.140625" style="1"/>
    <col min="13569" max="13569" width="5.85546875" style="1" customWidth="1"/>
    <col min="13570" max="13570" width="40.42578125" style="1" customWidth="1"/>
    <col min="13571" max="13571" width="12.7109375" style="1" customWidth="1"/>
    <col min="13572" max="13583" width="0" style="1" hidden="1" customWidth="1"/>
    <col min="13584" max="13584" width="13" style="1" customWidth="1"/>
    <col min="13585" max="13587" width="0" style="1" hidden="1" customWidth="1"/>
    <col min="13588" max="13588" width="12.5703125" style="1" customWidth="1"/>
    <col min="13589" max="13589" width="13.28515625" style="1" customWidth="1"/>
    <col min="13590" max="13590" width="14" style="1" customWidth="1"/>
    <col min="13591" max="13824" width="9.140625" style="1"/>
    <col min="13825" max="13825" width="5.85546875" style="1" customWidth="1"/>
    <col min="13826" max="13826" width="40.42578125" style="1" customWidth="1"/>
    <col min="13827" max="13827" width="12.7109375" style="1" customWidth="1"/>
    <col min="13828" max="13839" width="0" style="1" hidden="1" customWidth="1"/>
    <col min="13840" max="13840" width="13" style="1" customWidth="1"/>
    <col min="13841" max="13843" width="0" style="1" hidden="1" customWidth="1"/>
    <col min="13844" max="13844" width="12.5703125" style="1" customWidth="1"/>
    <col min="13845" max="13845" width="13.28515625" style="1" customWidth="1"/>
    <col min="13846" max="13846" width="14" style="1" customWidth="1"/>
    <col min="13847" max="14080" width="9.140625" style="1"/>
    <col min="14081" max="14081" width="5.85546875" style="1" customWidth="1"/>
    <col min="14082" max="14082" width="40.42578125" style="1" customWidth="1"/>
    <col min="14083" max="14083" width="12.7109375" style="1" customWidth="1"/>
    <col min="14084" max="14095" width="0" style="1" hidden="1" customWidth="1"/>
    <col min="14096" max="14096" width="13" style="1" customWidth="1"/>
    <col min="14097" max="14099" width="0" style="1" hidden="1" customWidth="1"/>
    <col min="14100" max="14100" width="12.5703125" style="1" customWidth="1"/>
    <col min="14101" max="14101" width="13.28515625" style="1" customWidth="1"/>
    <col min="14102" max="14102" width="14" style="1" customWidth="1"/>
    <col min="14103" max="14336" width="9.140625" style="1"/>
    <col min="14337" max="14337" width="5.85546875" style="1" customWidth="1"/>
    <col min="14338" max="14338" width="40.42578125" style="1" customWidth="1"/>
    <col min="14339" max="14339" width="12.7109375" style="1" customWidth="1"/>
    <col min="14340" max="14351" width="0" style="1" hidden="1" customWidth="1"/>
    <col min="14352" max="14352" width="13" style="1" customWidth="1"/>
    <col min="14353" max="14355" width="0" style="1" hidden="1" customWidth="1"/>
    <col min="14356" max="14356" width="12.5703125" style="1" customWidth="1"/>
    <col min="14357" max="14357" width="13.28515625" style="1" customWidth="1"/>
    <col min="14358" max="14358" width="14" style="1" customWidth="1"/>
    <col min="14359" max="14592" width="9.140625" style="1"/>
    <col min="14593" max="14593" width="5.85546875" style="1" customWidth="1"/>
    <col min="14594" max="14594" width="40.42578125" style="1" customWidth="1"/>
    <col min="14595" max="14595" width="12.7109375" style="1" customWidth="1"/>
    <col min="14596" max="14607" width="0" style="1" hidden="1" customWidth="1"/>
    <col min="14608" max="14608" width="13" style="1" customWidth="1"/>
    <col min="14609" max="14611" width="0" style="1" hidden="1" customWidth="1"/>
    <col min="14612" max="14612" width="12.5703125" style="1" customWidth="1"/>
    <col min="14613" max="14613" width="13.28515625" style="1" customWidth="1"/>
    <col min="14614" max="14614" width="14" style="1" customWidth="1"/>
    <col min="14615" max="14848" width="9.140625" style="1"/>
    <col min="14849" max="14849" width="5.85546875" style="1" customWidth="1"/>
    <col min="14850" max="14850" width="40.42578125" style="1" customWidth="1"/>
    <col min="14851" max="14851" width="12.7109375" style="1" customWidth="1"/>
    <col min="14852" max="14863" width="0" style="1" hidden="1" customWidth="1"/>
    <col min="14864" max="14864" width="13" style="1" customWidth="1"/>
    <col min="14865" max="14867" width="0" style="1" hidden="1" customWidth="1"/>
    <col min="14868" max="14868" width="12.5703125" style="1" customWidth="1"/>
    <col min="14869" max="14869" width="13.28515625" style="1" customWidth="1"/>
    <col min="14870" max="14870" width="14" style="1" customWidth="1"/>
    <col min="14871" max="15104" width="9.140625" style="1"/>
    <col min="15105" max="15105" width="5.85546875" style="1" customWidth="1"/>
    <col min="15106" max="15106" width="40.42578125" style="1" customWidth="1"/>
    <col min="15107" max="15107" width="12.7109375" style="1" customWidth="1"/>
    <col min="15108" max="15119" width="0" style="1" hidden="1" customWidth="1"/>
    <col min="15120" max="15120" width="13" style="1" customWidth="1"/>
    <col min="15121" max="15123" width="0" style="1" hidden="1" customWidth="1"/>
    <col min="15124" max="15124" width="12.5703125" style="1" customWidth="1"/>
    <col min="15125" max="15125" width="13.28515625" style="1" customWidth="1"/>
    <col min="15126" max="15126" width="14" style="1" customWidth="1"/>
    <col min="15127" max="15360" width="9.140625" style="1"/>
    <col min="15361" max="15361" width="5.85546875" style="1" customWidth="1"/>
    <col min="15362" max="15362" width="40.42578125" style="1" customWidth="1"/>
    <col min="15363" max="15363" width="12.7109375" style="1" customWidth="1"/>
    <col min="15364" max="15375" width="0" style="1" hidden="1" customWidth="1"/>
    <col min="15376" max="15376" width="13" style="1" customWidth="1"/>
    <col min="15377" max="15379" width="0" style="1" hidden="1" customWidth="1"/>
    <col min="15380" max="15380" width="12.5703125" style="1" customWidth="1"/>
    <col min="15381" max="15381" width="13.28515625" style="1" customWidth="1"/>
    <col min="15382" max="15382" width="14" style="1" customWidth="1"/>
    <col min="15383" max="15616" width="9.140625" style="1"/>
    <col min="15617" max="15617" width="5.85546875" style="1" customWidth="1"/>
    <col min="15618" max="15618" width="40.42578125" style="1" customWidth="1"/>
    <col min="15619" max="15619" width="12.7109375" style="1" customWidth="1"/>
    <col min="15620" max="15631" width="0" style="1" hidden="1" customWidth="1"/>
    <col min="15632" max="15632" width="13" style="1" customWidth="1"/>
    <col min="15633" max="15635" width="0" style="1" hidden="1" customWidth="1"/>
    <col min="15636" max="15636" width="12.5703125" style="1" customWidth="1"/>
    <col min="15637" max="15637" width="13.28515625" style="1" customWidth="1"/>
    <col min="15638" max="15638" width="14" style="1" customWidth="1"/>
    <col min="15639" max="15872" width="9.140625" style="1"/>
    <col min="15873" max="15873" width="5.85546875" style="1" customWidth="1"/>
    <col min="15874" max="15874" width="40.42578125" style="1" customWidth="1"/>
    <col min="15875" max="15875" width="12.7109375" style="1" customWidth="1"/>
    <col min="15876" max="15887" width="0" style="1" hidden="1" customWidth="1"/>
    <col min="15888" max="15888" width="13" style="1" customWidth="1"/>
    <col min="15889" max="15891" width="0" style="1" hidden="1" customWidth="1"/>
    <col min="15892" max="15892" width="12.5703125" style="1" customWidth="1"/>
    <col min="15893" max="15893" width="13.28515625" style="1" customWidth="1"/>
    <col min="15894" max="15894" width="14" style="1" customWidth="1"/>
    <col min="15895" max="16128" width="9.140625" style="1"/>
    <col min="16129" max="16129" width="5.85546875" style="1" customWidth="1"/>
    <col min="16130" max="16130" width="40.42578125" style="1" customWidth="1"/>
    <col min="16131" max="16131" width="12.7109375" style="1" customWidth="1"/>
    <col min="16132" max="16143" width="0" style="1" hidden="1" customWidth="1"/>
    <col min="16144" max="16144" width="13" style="1" customWidth="1"/>
    <col min="16145" max="16147" width="0" style="1" hidden="1" customWidth="1"/>
    <col min="16148" max="16148" width="12.5703125" style="1" customWidth="1"/>
    <col min="16149" max="16149" width="13.28515625" style="1" customWidth="1"/>
    <col min="16150" max="16150" width="14" style="1" customWidth="1"/>
    <col min="16151" max="16384" width="9.140625" style="1"/>
  </cols>
  <sheetData>
    <row r="1" spans="1:22">
      <c r="P1" s="94"/>
      <c r="Q1" s="94"/>
      <c r="R1" s="94"/>
      <c r="S1" s="94"/>
    </row>
    <row r="2" spans="1:22">
      <c r="R2" s="86"/>
      <c r="S2" s="86"/>
    </row>
    <row r="3" spans="1:22" ht="30" customHeight="1">
      <c r="A3" s="99" t="s">
        <v>151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5" spans="1:22" ht="61.5" customHeight="1">
      <c r="A5" s="100" t="s">
        <v>124</v>
      </c>
      <c r="B5" s="101" t="s">
        <v>123</v>
      </c>
      <c r="C5" s="102" t="s">
        <v>122</v>
      </c>
      <c r="D5" s="103" t="s">
        <v>152</v>
      </c>
      <c r="E5" s="103" t="s">
        <v>153</v>
      </c>
      <c r="F5" s="103" t="s">
        <v>154</v>
      </c>
      <c r="G5" s="104" t="s">
        <v>3</v>
      </c>
      <c r="H5" s="105"/>
      <c r="I5" s="105"/>
      <c r="J5" s="105"/>
      <c r="K5" s="105"/>
      <c r="L5" s="106"/>
      <c r="M5" s="107" t="s">
        <v>145</v>
      </c>
      <c r="N5" s="108"/>
      <c r="O5" s="108"/>
      <c r="P5" s="108"/>
      <c r="Q5" s="108"/>
      <c r="R5" s="108"/>
      <c r="S5" s="109"/>
      <c r="T5" s="110" t="s">
        <v>146</v>
      </c>
      <c r="U5" s="110" t="s">
        <v>155</v>
      </c>
      <c r="V5" s="110" t="s">
        <v>148</v>
      </c>
    </row>
    <row r="6" spans="1:22">
      <c r="A6" s="87">
        <v>1</v>
      </c>
      <c r="B6" s="111">
        <v>2</v>
      </c>
      <c r="C6" s="111">
        <v>3</v>
      </c>
      <c r="D6" s="111">
        <v>4</v>
      </c>
      <c r="E6" s="111">
        <v>5</v>
      </c>
      <c r="F6" s="111">
        <v>6</v>
      </c>
      <c r="G6" s="112">
        <v>7</v>
      </c>
      <c r="H6" s="87">
        <v>8</v>
      </c>
      <c r="I6" s="87">
        <v>9</v>
      </c>
      <c r="J6" s="113">
        <v>10</v>
      </c>
      <c r="K6" s="87">
        <v>11</v>
      </c>
      <c r="L6" s="87">
        <v>12</v>
      </c>
      <c r="M6" s="87"/>
      <c r="N6" s="87">
        <v>4</v>
      </c>
      <c r="O6" s="87">
        <v>5</v>
      </c>
      <c r="P6" s="87">
        <v>4</v>
      </c>
      <c r="Q6" s="87">
        <v>7</v>
      </c>
      <c r="R6" s="87">
        <v>8</v>
      </c>
      <c r="S6" s="87">
        <v>9</v>
      </c>
      <c r="T6" s="87">
        <v>5</v>
      </c>
      <c r="U6" s="87">
        <v>6</v>
      </c>
      <c r="V6" s="87">
        <v>7</v>
      </c>
    </row>
    <row r="7" spans="1:22" ht="29.25">
      <c r="A7" s="114" t="s">
        <v>156</v>
      </c>
      <c r="B7" s="115" t="s">
        <v>118</v>
      </c>
      <c r="C7" s="116" t="s">
        <v>4</v>
      </c>
      <c r="D7" s="117">
        <f t="shared" ref="D7:M7" si="0">D8+D15+D20+D21</f>
        <v>46169.85</v>
      </c>
      <c r="E7" s="117">
        <f t="shared" si="0"/>
        <v>54781.799999999996</v>
      </c>
      <c r="F7" s="117">
        <f t="shared" si="0"/>
        <v>57835.219999999994</v>
      </c>
      <c r="G7" s="117">
        <f t="shared" si="0"/>
        <v>389740.56917259295</v>
      </c>
      <c r="H7" s="117">
        <f t="shared" si="0"/>
        <v>69183.200000000012</v>
      </c>
      <c r="I7" s="117">
        <f t="shared" si="0"/>
        <v>74356.040999999997</v>
      </c>
      <c r="J7" s="117">
        <f t="shared" si="0"/>
        <v>77231.349570000006</v>
      </c>
      <c r="K7" s="117">
        <f t="shared" si="0"/>
        <v>81892.336039900008</v>
      </c>
      <c r="L7" s="117">
        <f t="shared" si="0"/>
        <v>87077.642562692999</v>
      </c>
      <c r="M7" s="118">
        <f t="shared" si="0"/>
        <v>0</v>
      </c>
      <c r="N7" s="119">
        <f>O7+P7+Q7+R7+S7</f>
        <v>355415.20501089882</v>
      </c>
      <c r="O7" s="120">
        <f>O8+O15+O20+O21</f>
        <v>66241.943284000008</v>
      </c>
      <c r="P7" s="120">
        <f>P8+P15+P20+P21</f>
        <v>69606.440549999999</v>
      </c>
      <c r="Q7" s="120">
        <f>Q8+Q15+Q20+Q21</f>
        <v>71524.824328479997</v>
      </c>
      <c r="R7" s="120">
        <f>R8+R15+R20+R21</f>
        <v>73213.06105833441</v>
      </c>
      <c r="S7" s="120">
        <f>S8+S15+S20+S21</f>
        <v>74828.935790084433</v>
      </c>
      <c r="T7" s="120">
        <f>T8+T15+T20+T21+T26</f>
        <v>73254.48</v>
      </c>
      <c r="U7" s="121">
        <f>T7-P7</f>
        <v>3648.0394499999966</v>
      </c>
      <c r="V7" s="121">
        <f>U7/P7*100</f>
        <v>5.2409510113931495</v>
      </c>
    </row>
    <row r="8" spans="1:22">
      <c r="A8" s="122">
        <v>1</v>
      </c>
      <c r="B8" s="123" t="s">
        <v>5</v>
      </c>
      <c r="C8" s="116" t="s">
        <v>4</v>
      </c>
      <c r="D8" s="124">
        <f>D10+D12+D13+D14</f>
        <v>22939.699999999997</v>
      </c>
      <c r="E8" s="124">
        <f>E10+E12+E13+E14</f>
        <v>25723.82</v>
      </c>
      <c r="F8" s="124">
        <f>F10+F12+F13+F14</f>
        <v>27301.200000000001</v>
      </c>
      <c r="G8" s="125">
        <f t="shared" ref="G8:L8" si="1">G10+G12+G13+G14</f>
        <v>200442.09039602999</v>
      </c>
      <c r="H8" s="124">
        <f t="shared" si="1"/>
        <v>35841.800000000003</v>
      </c>
      <c r="I8" s="125">
        <f t="shared" si="1"/>
        <v>38547.01</v>
      </c>
      <c r="J8" s="125">
        <f t="shared" si="1"/>
        <v>39413.244700000003</v>
      </c>
      <c r="K8" s="125">
        <f t="shared" si="1"/>
        <v>41889.614828999998</v>
      </c>
      <c r="L8" s="125">
        <f t="shared" si="1"/>
        <v>44750.420867029999</v>
      </c>
      <c r="M8" s="126"/>
      <c r="N8" s="119">
        <f t="shared" ref="N8:N50" si="2">O8+P8+Q8+R8+S8</f>
        <v>158239.37544318079</v>
      </c>
      <c r="O8" s="120">
        <f t="shared" ref="O8:T8" si="3">O10+O12+O13+O14</f>
        <v>32199.300000000003</v>
      </c>
      <c r="P8" s="120">
        <f t="shared" si="3"/>
        <v>31222.252800000002</v>
      </c>
      <c r="Q8" s="120">
        <f t="shared" si="3"/>
        <v>30842.730111999997</v>
      </c>
      <c r="R8" s="120">
        <f t="shared" si="3"/>
        <v>31631.720015359999</v>
      </c>
      <c r="S8" s="120">
        <f t="shared" si="3"/>
        <v>32343.372515820804</v>
      </c>
      <c r="T8" s="120">
        <f t="shared" si="3"/>
        <v>33725.129999999997</v>
      </c>
      <c r="U8" s="121">
        <f t="shared" ref="U8:U60" si="4">T8-P8</f>
        <v>2502.8771999999954</v>
      </c>
      <c r="V8" s="121">
        <f t="shared" ref="V8:V60" si="5">U8/P8*100</f>
        <v>8.0163248181758213</v>
      </c>
    </row>
    <row r="9" spans="1:22">
      <c r="A9" s="127"/>
      <c r="B9" s="128" t="s">
        <v>6</v>
      </c>
      <c r="C9" s="129"/>
      <c r="D9" s="130"/>
      <c r="E9" s="130"/>
      <c r="F9" s="130"/>
      <c r="G9" s="131"/>
      <c r="H9" s="132"/>
      <c r="I9" s="132"/>
      <c r="J9" s="132"/>
      <c r="K9" s="132"/>
      <c r="L9" s="132"/>
      <c r="M9" s="126"/>
      <c r="N9" s="119"/>
      <c r="O9" s="126"/>
      <c r="P9" s="126"/>
      <c r="Q9" s="126"/>
      <c r="R9" s="126"/>
      <c r="S9" s="126"/>
      <c r="T9" s="126"/>
      <c r="U9" s="121"/>
      <c r="V9" s="121"/>
    </row>
    <row r="10" spans="1:22">
      <c r="A10" s="127" t="s">
        <v>7</v>
      </c>
      <c r="B10" s="128" t="s">
        <v>8</v>
      </c>
      <c r="C10" s="129" t="s">
        <v>4</v>
      </c>
      <c r="D10" s="130">
        <v>5697.96</v>
      </c>
      <c r="E10" s="130">
        <v>6651.52</v>
      </c>
      <c r="F10" s="130">
        <v>6701.9</v>
      </c>
      <c r="G10" s="131">
        <f>H10+I10+J10+K10+L10</f>
        <v>45448.090396030006</v>
      </c>
      <c r="H10" s="133">
        <v>7903</v>
      </c>
      <c r="I10" s="133">
        <f>H10*1.07</f>
        <v>8456.2100000000009</v>
      </c>
      <c r="J10" s="133">
        <f>I10*1.07</f>
        <v>9048.1447000000007</v>
      </c>
      <c r="K10" s="133">
        <f>J10*1.07</f>
        <v>9681.5148290000016</v>
      </c>
      <c r="L10" s="133">
        <f>K10*1.07</f>
        <v>10359.220867030002</v>
      </c>
      <c r="M10" s="126"/>
      <c r="N10" s="134">
        <f t="shared" si="2"/>
        <v>27706.773236000001</v>
      </c>
      <c r="O10" s="121">
        <f>F10*1.06</f>
        <v>7104.0140000000001</v>
      </c>
      <c r="P10" s="121">
        <v>4888.5</v>
      </c>
      <c r="Q10" s="121">
        <f>P10*1.04</f>
        <v>5084.04</v>
      </c>
      <c r="R10" s="121">
        <f>Q10*1.03</f>
        <v>5236.5612000000001</v>
      </c>
      <c r="S10" s="121">
        <f>R10*1.03</f>
        <v>5393.6580359999998</v>
      </c>
      <c r="T10" s="121">
        <v>4914.8</v>
      </c>
      <c r="U10" s="121">
        <f t="shared" si="4"/>
        <v>26.300000000000182</v>
      </c>
      <c r="V10" s="121">
        <f t="shared" si="5"/>
        <v>0.53799734069755922</v>
      </c>
    </row>
    <row r="11" spans="1:22">
      <c r="A11" s="127" t="s">
        <v>9</v>
      </c>
      <c r="B11" s="128" t="s">
        <v>10</v>
      </c>
      <c r="C11" s="129" t="s">
        <v>4</v>
      </c>
      <c r="D11" s="130"/>
      <c r="E11" s="130"/>
      <c r="F11" s="130"/>
      <c r="G11" s="130"/>
      <c r="H11" s="132"/>
      <c r="I11" s="132"/>
      <c r="J11" s="132"/>
      <c r="K11" s="132"/>
      <c r="L11" s="132"/>
      <c r="M11" s="126"/>
      <c r="N11" s="134"/>
      <c r="O11" s="126"/>
      <c r="P11" s="126"/>
      <c r="Q11" s="126"/>
      <c r="R11" s="126"/>
      <c r="S11" s="126"/>
      <c r="T11" s="126"/>
      <c r="U11" s="121"/>
      <c r="V11" s="121"/>
    </row>
    <row r="12" spans="1:22">
      <c r="A12" s="127" t="s">
        <v>11</v>
      </c>
      <c r="B12" s="135" t="s">
        <v>12</v>
      </c>
      <c r="C12" s="129" t="s">
        <v>4</v>
      </c>
      <c r="D12" s="130">
        <v>2818</v>
      </c>
      <c r="E12" s="130">
        <v>2872.1</v>
      </c>
      <c r="F12" s="130">
        <v>2905.6</v>
      </c>
      <c r="G12" s="130">
        <f>H12+I12+J12+K12+L12</f>
        <v>23333</v>
      </c>
      <c r="H12" s="132">
        <v>4222.7</v>
      </c>
      <c r="I12" s="132">
        <v>4433.8</v>
      </c>
      <c r="J12" s="132">
        <v>4655.5</v>
      </c>
      <c r="K12" s="132">
        <v>4888.3</v>
      </c>
      <c r="L12" s="132">
        <v>5132.7</v>
      </c>
      <c r="M12" s="126"/>
      <c r="N12" s="134">
        <f t="shared" si="2"/>
        <v>16709.462207180804</v>
      </c>
      <c r="O12" s="121">
        <f>F12*1.06</f>
        <v>3079.9360000000001</v>
      </c>
      <c r="P12" s="121">
        <f>O12*1.05</f>
        <v>3233.9328000000005</v>
      </c>
      <c r="Q12" s="121">
        <f>P12*1.04</f>
        <v>3363.2901120000006</v>
      </c>
      <c r="R12" s="121">
        <f>Q12*1.03</f>
        <v>3464.1888153600007</v>
      </c>
      <c r="S12" s="121">
        <f>R12*1.03</f>
        <v>3568.1144798208006</v>
      </c>
      <c r="T12" s="121">
        <v>3233.93</v>
      </c>
      <c r="U12" s="121">
        <f t="shared" si="4"/>
        <v>-2.8000000006613845E-3</v>
      </c>
      <c r="V12" s="121">
        <f t="shared" si="5"/>
        <v>-8.6581885704656078E-5</v>
      </c>
    </row>
    <row r="13" spans="1:22">
      <c r="A13" s="136" t="s">
        <v>13</v>
      </c>
      <c r="B13" s="135" t="s">
        <v>14</v>
      </c>
      <c r="C13" s="129" t="s">
        <v>4</v>
      </c>
      <c r="D13" s="130">
        <v>8844</v>
      </c>
      <c r="E13" s="130">
        <v>8844.1</v>
      </c>
      <c r="F13" s="130">
        <v>9671.4</v>
      </c>
      <c r="G13" s="130">
        <f>H13+I13+J13+K13+L13</f>
        <v>81608.099999999991</v>
      </c>
      <c r="H13" s="132">
        <v>15040</v>
      </c>
      <c r="I13" s="132">
        <v>16358</v>
      </c>
      <c r="J13" s="132">
        <v>15747.1</v>
      </c>
      <c r="K13" s="132">
        <v>16648.8</v>
      </c>
      <c r="L13" s="132">
        <v>17814.2</v>
      </c>
      <c r="M13" s="126"/>
      <c r="N13" s="134">
        <f t="shared" si="2"/>
        <v>74465.140000000014</v>
      </c>
      <c r="O13" s="126">
        <v>14143.75</v>
      </c>
      <c r="P13" s="126">
        <v>15228.22</v>
      </c>
      <c r="Q13" s="126">
        <v>14523.8</v>
      </c>
      <c r="R13" s="126">
        <v>15059.37</v>
      </c>
      <c r="S13" s="126">
        <v>15510</v>
      </c>
      <c r="T13" s="126">
        <v>16165.4</v>
      </c>
      <c r="U13" s="121">
        <f t="shared" si="4"/>
        <v>937.18000000000029</v>
      </c>
      <c r="V13" s="121">
        <f t="shared" si="5"/>
        <v>6.1542320770254193</v>
      </c>
    </row>
    <row r="14" spans="1:22">
      <c r="A14" s="127" t="s">
        <v>15</v>
      </c>
      <c r="B14" s="135" t="s">
        <v>16</v>
      </c>
      <c r="C14" s="129" t="s">
        <v>4</v>
      </c>
      <c r="D14" s="130">
        <v>5579.74</v>
      </c>
      <c r="E14" s="130">
        <v>7356.1</v>
      </c>
      <c r="F14" s="130">
        <v>8022.3</v>
      </c>
      <c r="G14" s="130">
        <f>H14+I14+J14+K14+L14</f>
        <v>50052.899999999994</v>
      </c>
      <c r="H14" s="132">
        <v>8676.1</v>
      </c>
      <c r="I14" s="132">
        <v>9299</v>
      </c>
      <c r="J14" s="132">
        <v>9962.5</v>
      </c>
      <c r="K14" s="132">
        <v>10671</v>
      </c>
      <c r="L14" s="132">
        <v>11444.3</v>
      </c>
      <c r="M14" s="126"/>
      <c r="N14" s="134">
        <f t="shared" si="2"/>
        <v>39358</v>
      </c>
      <c r="O14" s="126">
        <v>7871.6</v>
      </c>
      <c r="P14" s="126">
        <v>7871.6</v>
      </c>
      <c r="Q14" s="126">
        <v>7871.6</v>
      </c>
      <c r="R14" s="126">
        <v>7871.6</v>
      </c>
      <c r="S14" s="126">
        <v>7871.6</v>
      </c>
      <c r="T14" s="126">
        <v>9411</v>
      </c>
      <c r="U14" s="121">
        <f t="shared" si="4"/>
        <v>1539.3999999999996</v>
      </c>
      <c r="V14" s="121">
        <f t="shared" si="5"/>
        <v>19.556379897352503</v>
      </c>
    </row>
    <row r="15" spans="1:22">
      <c r="A15" s="122">
        <v>2</v>
      </c>
      <c r="B15" s="137" t="s">
        <v>19</v>
      </c>
      <c r="C15" s="116" t="s">
        <v>4</v>
      </c>
      <c r="D15" s="124">
        <f>D17+D18</f>
        <v>20515.150000000001</v>
      </c>
      <c r="E15" s="124">
        <f>E17+E18</f>
        <v>26391.629999999997</v>
      </c>
      <c r="F15" s="124">
        <f>F17+F18</f>
        <v>27881.5</v>
      </c>
      <c r="G15" s="124">
        <f>H15+I15+J15+K15+L15</f>
        <v>170726.1</v>
      </c>
      <c r="H15" s="124">
        <f>H17+H18</f>
        <v>29687.7</v>
      </c>
      <c r="I15" s="124">
        <f>I17+I18</f>
        <v>31765.9</v>
      </c>
      <c r="J15" s="124">
        <f>J17+J18</f>
        <v>33989.4</v>
      </c>
      <c r="K15" s="124">
        <f>K17+K18</f>
        <v>36368.600000000006</v>
      </c>
      <c r="L15" s="124">
        <f>L17+L18</f>
        <v>38914.5</v>
      </c>
      <c r="M15" s="126"/>
      <c r="N15" s="119">
        <f t="shared" si="2"/>
        <v>178729.88433554402</v>
      </c>
      <c r="O15" s="120">
        <f>O17+O18</f>
        <v>30397.588283999998</v>
      </c>
      <c r="P15" s="120">
        <f>P17+P18+P19</f>
        <v>34353.71</v>
      </c>
      <c r="Q15" s="120">
        <f>Q17+Q18</f>
        <v>36875.533356479995</v>
      </c>
      <c r="R15" s="120">
        <f>R17+R18</f>
        <v>37981.799357174401</v>
      </c>
      <c r="S15" s="120">
        <f>S17+S18</f>
        <v>39121.253337889633</v>
      </c>
      <c r="T15" s="120">
        <f>T17+T18+T19</f>
        <v>35247.25</v>
      </c>
      <c r="U15" s="121">
        <f t="shared" si="4"/>
        <v>893.54000000000087</v>
      </c>
      <c r="V15" s="121">
        <f t="shared" si="5"/>
        <v>2.6010000084415945</v>
      </c>
    </row>
    <row r="16" spans="1:22">
      <c r="A16" s="127"/>
      <c r="B16" s="135" t="s">
        <v>6</v>
      </c>
      <c r="C16" s="129"/>
      <c r="D16" s="130"/>
      <c r="E16" s="130"/>
      <c r="F16" s="130"/>
      <c r="G16" s="130"/>
      <c r="H16" s="132"/>
      <c r="I16" s="132"/>
      <c r="J16" s="132"/>
      <c r="K16" s="132"/>
      <c r="L16" s="132"/>
      <c r="M16" s="126"/>
      <c r="N16" s="119"/>
      <c r="O16" s="126"/>
      <c r="P16" s="126"/>
      <c r="Q16" s="126"/>
      <c r="R16" s="126"/>
      <c r="S16" s="126"/>
      <c r="T16" s="126"/>
      <c r="U16" s="121"/>
      <c r="V16" s="121"/>
    </row>
    <row r="17" spans="1:22">
      <c r="A17" s="127" t="s">
        <v>20</v>
      </c>
      <c r="B17" s="135" t="s">
        <v>21</v>
      </c>
      <c r="C17" s="129" t="s">
        <v>4</v>
      </c>
      <c r="D17" s="130">
        <v>19113.5</v>
      </c>
      <c r="E17" s="130">
        <v>24328.21</v>
      </c>
      <c r="F17" s="130">
        <v>25970.2</v>
      </c>
      <c r="G17" s="130">
        <f>H17+I17+J17+K17+L17</f>
        <v>159061.4</v>
      </c>
      <c r="H17" s="132">
        <v>27659.3</v>
      </c>
      <c r="I17" s="132">
        <v>29595.5</v>
      </c>
      <c r="J17" s="132">
        <v>31667.1</v>
      </c>
      <c r="K17" s="132">
        <v>33883.800000000003</v>
      </c>
      <c r="L17" s="132">
        <v>36255.699999999997</v>
      </c>
      <c r="M17" s="126"/>
      <c r="N17" s="134">
        <f t="shared" si="2"/>
        <v>162586.95530076802</v>
      </c>
      <c r="O17" s="121">
        <f>O56*O59*12/1000</f>
        <v>27659.315999999999</v>
      </c>
      <c r="P17" s="121">
        <v>31216.46</v>
      </c>
      <c r="Q17" s="121">
        <f>Q56*Q59*12/1000</f>
        <v>33553.715519999998</v>
      </c>
      <c r="R17" s="121">
        <f>R56*R59*12/1000</f>
        <v>34560.326985600004</v>
      </c>
      <c r="S17" s="121">
        <f>S56*S59*12/1000</f>
        <v>35597.136795168</v>
      </c>
      <c r="T17" s="121">
        <v>32016.54</v>
      </c>
      <c r="U17" s="121">
        <f t="shared" si="4"/>
        <v>800.08000000000175</v>
      </c>
      <c r="V17" s="121">
        <f t="shared" si="5"/>
        <v>2.5630068239640296</v>
      </c>
    </row>
    <row r="18" spans="1:22">
      <c r="A18" s="127" t="s">
        <v>22</v>
      </c>
      <c r="B18" s="135" t="s">
        <v>23</v>
      </c>
      <c r="C18" s="129" t="s">
        <v>4</v>
      </c>
      <c r="D18" s="130">
        <v>1401.65</v>
      </c>
      <c r="E18" s="130">
        <v>2063.42</v>
      </c>
      <c r="F18" s="130">
        <v>1911.3</v>
      </c>
      <c r="G18" s="130">
        <f>H18+I18+J18+K18+L18</f>
        <v>11664.7</v>
      </c>
      <c r="H18" s="132">
        <v>2028.4</v>
      </c>
      <c r="I18" s="133">
        <v>2170.4</v>
      </c>
      <c r="J18" s="132">
        <v>2322.3000000000002</v>
      </c>
      <c r="K18" s="132">
        <v>2484.8000000000002</v>
      </c>
      <c r="L18" s="133">
        <v>2658.8</v>
      </c>
      <c r="M18" s="126"/>
      <c r="N18" s="134">
        <f t="shared" si="2"/>
        <v>15674.679034776032</v>
      </c>
      <c r="O18" s="121">
        <f>O17*0.9*0.11</f>
        <v>2738.2722840000001</v>
      </c>
      <c r="P18" s="121">
        <v>2669</v>
      </c>
      <c r="Q18" s="121">
        <f>Q17*0.9*0.11</f>
        <v>3321.8178364799996</v>
      </c>
      <c r="R18" s="121">
        <f>R17*0.9*0.11</f>
        <v>3421.4723715744003</v>
      </c>
      <c r="S18" s="121">
        <f>S17*0.9*0.11</f>
        <v>3524.116542721632</v>
      </c>
      <c r="T18" s="121">
        <v>2759.25</v>
      </c>
      <c r="U18" s="121">
        <f t="shared" si="4"/>
        <v>90.25</v>
      </c>
      <c r="V18" s="121">
        <f t="shared" si="5"/>
        <v>3.3814162607718243</v>
      </c>
    </row>
    <row r="19" spans="1:22">
      <c r="A19" s="127"/>
      <c r="B19" s="135" t="s">
        <v>143</v>
      </c>
      <c r="C19" s="129"/>
      <c r="D19" s="130"/>
      <c r="E19" s="130"/>
      <c r="F19" s="130"/>
      <c r="G19" s="130"/>
      <c r="H19" s="132"/>
      <c r="I19" s="133"/>
      <c r="J19" s="132"/>
      <c r="K19" s="132"/>
      <c r="L19" s="133"/>
      <c r="M19" s="126"/>
      <c r="N19" s="134"/>
      <c r="O19" s="121"/>
      <c r="P19" s="121">
        <v>468.25</v>
      </c>
      <c r="Q19" s="121"/>
      <c r="R19" s="121"/>
      <c r="S19" s="121"/>
      <c r="T19" s="121">
        <v>471.46</v>
      </c>
      <c r="U19" s="121">
        <f t="shared" si="4"/>
        <v>3.2099999999999795</v>
      </c>
      <c r="V19" s="121">
        <f t="shared" si="5"/>
        <v>0.68553123331553212</v>
      </c>
    </row>
    <row r="20" spans="1:22">
      <c r="A20" s="122">
        <v>3</v>
      </c>
      <c r="B20" s="137" t="s">
        <v>24</v>
      </c>
      <c r="C20" s="116" t="s">
        <v>4</v>
      </c>
      <c r="D20" s="124">
        <v>2350</v>
      </c>
      <c r="E20" s="124">
        <v>2350</v>
      </c>
      <c r="F20" s="124">
        <v>2350</v>
      </c>
      <c r="G20" s="124">
        <f>H20+I20+J20+K20+L20</f>
        <v>16859.300000000003</v>
      </c>
      <c r="H20" s="138">
        <v>3352.6</v>
      </c>
      <c r="I20" s="138">
        <v>3723.4</v>
      </c>
      <c r="J20" s="138">
        <v>3487.2</v>
      </c>
      <c r="K20" s="138">
        <v>3270.6</v>
      </c>
      <c r="L20" s="138">
        <v>3025.5</v>
      </c>
      <c r="M20" s="126"/>
      <c r="N20" s="119">
        <f t="shared" si="2"/>
        <v>16859.300000000003</v>
      </c>
      <c r="O20" s="139">
        <v>3352.6</v>
      </c>
      <c r="P20" s="139">
        <v>3723.4</v>
      </c>
      <c r="Q20" s="139">
        <v>3487.2</v>
      </c>
      <c r="R20" s="139">
        <v>3270.6</v>
      </c>
      <c r="S20" s="139">
        <v>3025.5</v>
      </c>
      <c r="T20" s="139">
        <v>3776.4</v>
      </c>
      <c r="U20" s="121">
        <f t="shared" si="4"/>
        <v>53</v>
      </c>
      <c r="V20" s="121">
        <f t="shared" si="5"/>
        <v>1.4234301982059407</v>
      </c>
    </row>
    <row r="21" spans="1:22">
      <c r="A21" s="122">
        <v>4</v>
      </c>
      <c r="B21" s="137" t="s">
        <v>30</v>
      </c>
      <c r="C21" s="116" t="s">
        <v>4</v>
      </c>
      <c r="D21" s="124">
        <f>D22+D23+D24+D25</f>
        <v>365</v>
      </c>
      <c r="E21" s="124">
        <f>E22+E23+E24+E25</f>
        <v>316.35000000000002</v>
      </c>
      <c r="F21" s="124">
        <f>F22+F23+F24+F25</f>
        <v>302.52</v>
      </c>
      <c r="G21" s="125">
        <f t="shared" ref="G21:L21" si="6">G22+G23+G24+G25</f>
        <v>1713.0787765629998</v>
      </c>
      <c r="H21" s="124">
        <f t="shared" si="6"/>
        <v>301.10000000000002</v>
      </c>
      <c r="I21" s="125">
        <f t="shared" si="6"/>
        <v>319.73099999999999</v>
      </c>
      <c r="J21" s="125">
        <f t="shared" si="6"/>
        <v>341.50486999999998</v>
      </c>
      <c r="K21" s="125">
        <f t="shared" si="6"/>
        <v>363.52121090000003</v>
      </c>
      <c r="L21" s="125">
        <f t="shared" si="6"/>
        <v>387.22169566299999</v>
      </c>
      <c r="M21" s="126"/>
      <c r="N21" s="119">
        <f t="shared" si="2"/>
        <v>1586.6452321740003</v>
      </c>
      <c r="O21" s="120">
        <f>O22+O23+O24+O25</f>
        <v>292.45500000000004</v>
      </c>
      <c r="P21" s="120">
        <f>P22+P23+P24+P25</f>
        <v>307.07775000000004</v>
      </c>
      <c r="Q21" s="120">
        <f>Q22+Q23+Q24+Q25</f>
        <v>319.36086000000006</v>
      </c>
      <c r="R21" s="120">
        <f>R22+R23+R24+R25</f>
        <v>328.94168580000007</v>
      </c>
      <c r="S21" s="120">
        <f>S22+S23+S24+S25</f>
        <v>338.80993637400013</v>
      </c>
      <c r="T21" s="120">
        <f>SUM(T22:T25)</f>
        <v>316.79999999999995</v>
      </c>
      <c r="U21" s="121">
        <f t="shared" si="4"/>
        <v>9.7222499999999172</v>
      </c>
      <c r="V21" s="121">
        <f t="shared" si="5"/>
        <v>3.1660548509294193</v>
      </c>
    </row>
    <row r="22" spans="1:22">
      <c r="A22" s="127" t="s">
        <v>26</v>
      </c>
      <c r="B22" s="135" t="s">
        <v>157</v>
      </c>
      <c r="C22" s="129" t="s">
        <v>4</v>
      </c>
      <c r="D22" s="130">
        <v>127.2</v>
      </c>
      <c r="E22" s="130">
        <v>134.88</v>
      </c>
      <c r="F22" s="130">
        <v>121.05</v>
      </c>
      <c r="G22" s="130">
        <f t="shared" ref="G22:G28" si="7">H22+I22+J22+K22+L22</f>
        <v>783.58999999999992</v>
      </c>
      <c r="H22" s="132">
        <v>136.4</v>
      </c>
      <c r="I22" s="132">
        <v>145.09</v>
      </c>
      <c r="J22" s="132">
        <v>156.19999999999999</v>
      </c>
      <c r="K22" s="132">
        <v>167.1</v>
      </c>
      <c r="L22" s="132">
        <v>178.8</v>
      </c>
      <c r="M22" s="126"/>
      <c r="N22" s="134">
        <f t="shared" si="2"/>
        <v>696.13174565640008</v>
      </c>
      <c r="O22" s="121">
        <f>F22*1.06</f>
        <v>128.31300000000002</v>
      </c>
      <c r="P22" s="121">
        <f>O22*1.05</f>
        <v>134.72865000000002</v>
      </c>
      <c r="Q22" s="121">
        <f>P22*1.04</f>
        <v>140.11779600000003</v>
      </c>
      <c r="R22" s="121">
        <f t="shared" ref="R22:S25" si="8">Q22*1.03</f>
        <v>144.32132988000004</v>
      </c>
      <c r="S22" s="121">
        <f t="shared" si="8"/>
        <v>148.65096977640005</v>
      </c>
      <c r="T22" s="121">
        <v>139.19999999999999</v>
      </c>
      <c r="U22" s="121">
        <f t="shared" si="4"/>
        <v>4.4713499999999726</v>
      </c>
      <c r="V22" s="121">
        <f t="shared" si="5"/>
        <v>3.3187818626550269</v>
      </c>
    </row>
    <row r="23" spans="1:22">
      <c r="A23" s="127" t="s">
        <v>158</v>
      </c>
      <c r="B23" s="135" t="s">
        <v>159</v>
      </c>
      <c r="C23" s="129" t="s">
        <v>4</v>
      </c>
      <c r="D23" s="130">
        <v>142.80000000000001</v>
      </c>
      <c r="E23" s="130">
        <v>86.3</v>
      </c>
      <c r="F23" s="130">
        <v>86.3</v>
      </c>
      <c r="G23" s="131">
        <f t="shared" si="7"/>
        <v>496.28877656300006</v>
      </c>
      <c r="H23" s="132">
        <v>86.3</v>
      </c>
      <c r="I23" s="133">
        <f>H23*1.07</f>
        <v>92.341000000000008</v>
      </c>
      <c r="J23" s="133">
        <f>I23*1.07</f>
        <v>98.804870000000008</v>
      </c>
      <c r="K23" s="133">
        <f>J23*1.07</f>
        <v>105.72121090000002</v>
      </c>
      <c r="L23" s="133">
        <f>K23*1.07</f>
        <v>113.12169566300003</v>
      </c>
      <c r="M23" s="126"/>
      <c r="N23" s="134">
        <f t="shared" si="2"/>
        <v>468.20017963999993</v>
      </c>
      <c r="O23" s="121">
        <v>86.3</v>
      </c>
      <c r="P23" s="121">
        <f>O23*1.05</f>
        <v>90.614999999999995</v>
      </c>
      <c r="Q23" s="121">
        <f>P23*1.04</f>
        <v>94.239599999999996</v>
      </c>
      <c r="R23" s="121">
        <f t="shared" si="8"/>
        <v>97.066788000000003</v>
      </c>
      <c r="S23" s="121">
        <f t="shared" si="8"/>
        <v>99.978791640000011</v>
      </c>
      <c r="T23" s="121">
        <v>91.2</v>
      </c>
      <c r="U23" s="121">
        <f t="shared" si="4"/>
        <v>0.58500000000000796</v>
      </c>
      <c r="V23" s="121">
        <f t="shared" si="5"/>
        <v>0.64558847872869618</v>
      </c>
    </row>
    <row r="24" spans="1:22">
      <c r="A24" s="127" t="s">
        <v>160</v>
      </c>
      <c r="B24" s="135" t="s">
        <v>161</v>
      </c>
      <c r="C24" s="129" t="s">
        <v>4</v>
      </c>
      <c r="D24" s="130">
        <v>60.7</v>
      </c>
      <c r="E24" s="130">
        <v>60.7</v>
      </c>
      <c r="F24" s="130">
        <v>60.7</v>
      </c>
      <c r="G24" s="131">
        <f t="shared" si="7"/>
        <v>358.6</v>
      </c>
      <c r="H24" s="132">
        <v>64.900000000000006</v>
      </c>
      <c r="I24" s="132">
        <v>68.099999999999994</v>
      </c>
      <c r="J24" s="132">
        <v>71.599999999999994</v>
      </c>
      <c r="K24" s="132">
        <v>75.099999999999994</v>
      </c>
      <c r="L24" s="132">
        <v>78.900000000000006</v>
      </c>
      <c r="M24" s="126"/>
      <c r="N24" s="134">
        <f t="shared" si="2"/>
        <v>349.07225907760011</v>
      </c>
      <c r="O24" s="121">
        <f>F24*1.06</f>
        <v>64.342000000000013</v>
      </c>
      <c r="P24" s="121">
        <f>O24*1.05</f>
        <v>67.559100000000015</v>
      </c>
      <c r="Q24" s="121">
        <f>P24*1.04</f>
        <v>70.261464000000018</v>
      </c>
      <c r="R24" s="121">
        <f t="shared" si="8"/>
        <v>72.369307920000026</v>
      </c>
      <c r="S24" s="121">
        <f t="shared" si="8"/>
        <v>74.540387157600023</v>
      </c>
      <c r="T24" s="121">
        <v>71.400000000000006</v>
      </c>
      <c r="U24" s="121">
        <f t="shared" si="4"/>
        <v>3.8408999999999907</v>
      </c>
      <c r="V24" s="121">
        <f t="shared" si="5"/>
        <v>5.6852444748375719</v>
      </c>
    </row>
    <row r="25" spans="1:22">
      <c r="A25" s="127" t="s">
        <v>162</v>
      </c>
      <c r="B25" s="135" t="s">
        <v>163</v>
      </c>
      <c r="C25" s="129" t="s">
        <v>4</v>
      </c>
      <c r="D25" s="130">
        <v>34.299999999999997</v>
      </c>
      <c r="E25" s="130">
        <v>34.47</v>
      </c>
      <c r="F25" s="130">
        <v>34.47</v>
      </c>
      <c r="G25" s="131">
        <f t="shared" si="7"/>
        <v>74.599999999999994</v>
      </c>
      <c r="H25" s="132">
        <v>13.5</v>
      </c>
      <c r="I25" s="132">
        <v>14.2</v>
      </c>
      <c r="J25" s="132">
        <v>14.9</v>
      </c>
      <c r="K25" s="132">
        <v>15.6</v>
      </c>
      <c r="L25" s="132">
        <v>16.399999999999999</v>
      </c>
      <c r="M25" s="126"/>
      <c r="N25" s="134">
        <f t="shared" si="2"/>
        <v>73.241047800000004</v>
      </c>
      <c r="O25" s="121">
        <v>13.5</v>
      </c>
      <c r="P25" s="121">
        <f>O25*1.05</f>
        <v>14.175000000000001</v>
      </c>
      <c r="Q25" s="121">
        <f>P25*1.04</f>
        <v>14.742000000000001</v>
      </c>
      <c r="R25" s="121">
        <f t="shared" si="8"/>
        <v>15.184260000000002</v>
      </c>
      <c r="S25" s="121">
        <f t="shared" si="8"/>
        <v>15.639787800000002</v>
      </c>
      <c r="T25" s="121">
        <v>15</v>
      </c>
      <c r="U25" s="121">
        <f t="shared" si="4"/>
        <v>0.82499999999999929</v>
      </c>
      <c r="V25" s="121">
        <f t="shared" si="5"/>
        <v>5.8201058201058151</v>
      </c>
    </row>
    <row r="26" spans="1:22">
      <c r="A26" s="122">
        <v>5</v>
      </c>
      <c r="B26" s="137" t="s">
        <v>164</v>
      </c>
      <c r="C26" s="116" t="s">
        <v>4</v>
      </c>
      <c r="D26" s="124"/>
      <c r="E26" s="124"/>
      <c r="F26" s="124"/>
      <c r="G26" s="125"/>
      <c r="H26" s="138"/>
      <c r="I26" s="138"/>
      <c r="J26" s="138"/>
      <c r="K26" s="138"/>
      <c r="L26" s="138"/>
      <c r="M26" s="139"/>
      <c r="N26" s="119"/>
      <c r="O26" s="120"/>
      <c r="P26" s="120"/>
      <c r="Q26" s="120"/>
      <c r="R26" s="120"/>
      <c r="S26" s="120"/>
      <c r="T26" s="120">
        <v>188.9</v>
      </c>
      <c r="U26" s="121">
        <f>T26-P26</f>
        <v>188.9</v>
      </c>
      <c r="V26" s="121"/>
    </row>
    <row r="27" spans="1:22">
      <c r="A27" s="122" t="s">
        <v>38</v>
      </c>
      <c r="B27" s="140" t="s">
        <v>39</v>
      </c>
      <c r="C27" s="116" t="s">
        <v>4</v>
      </c>
      <c r="D27" s="124">
        <f>D28</f>
        <v>9145.6</v>
      </c>
      <c r="E27" s="124" t="e">
        <f>E28</f>
        <v>#REF!</v>
      </c>
      <c r="F27" s="124" t="e">
        <f>F28</f>
        <v>#REF!</v>
      </c>
      <c r="G27" s="131" t="e">
        <f t="shared" si="7"/>
        <v>#REF!</v>
      </c>
      <c r="H27" s="124" t="e">
        <f>H28</f>
        <v>#REF!</v>
      </c>
      <c r="I27" s="124" t="e">
        <f>I28</f>
        <v>#REF!</v>
      </c>
      <c r="J27" s="124" t="e">
        <f>J28</f>
        <v>#REF!</v>
      </c>
      <c r="K27" s="124" t="e">
        <f>K28</f>
        <v>#REF!</v>
      </c>
      <c r="L27" s="124" t="e">
        <f>L28</f>
        <v>#REF!</v>
      </c>
      <c r="M27" s="126"/>
      <c r="N27" s="119">
        <f t="shared" si="2"/>
        <v>61360.794006822318</v>
      </c>
      <c r="O27" s="120">
        <f>O30+O35+O36+O38+O39+O40+O41+O43+O44</f>
        <v>11755.314778666667</v>
      </c>
      <c r="P27" s="120">
        <f>P32+P33+P34+P35+P36+P37+P40+P41+P43+P44+P42</f>
        <v>12433.77599</v>
      </c>
      <c r="Q27" s="120">
        <f>Q32+Q33+Q34+Q35+Q36+Q37+Q40+Q41+Q43+Q44+Q42</f>
        <v>12051.908920753065</v>
      </c>
      <c r="R27" s="120">
        <f>R32+R33+R34+R35+R36+R37+R40+R41+R43+R44+R42</f>
        <v>12387.21468837566</v>
      </c>
      <c r="S27" s="120">
        <f>S32+S33+S34+S35+S36+S37+S40+S41+S43+S44+S42</f>
        <v>12732.579629026928</v>
      </c>
      <c r="T27" s="120">
        <f>T32+T33+T34+T35+T36+T37+T40+T41+T43+T44+T42</f>
        <v>13799.540000000003</v>
      </c>
      <c r="U27" s="121">
        <f t="shared" si="4"/>
        <v>1365.7640100000026</v>
      </c>
      <c r="V27" s="121">
        <f t="shared" si="5"/>
        <v>10.984306063567763</v>
      </c>
    </row>
    <row r="28" spans="1:22">
      <c r="A28" s="127">
        <v>5</v>
      </c>
      <c r="B28" s="141" t="s">
        <v>40</v>
      </c>
      <c r="C28" s="129" t="s">
        <v>4</v>
      </c>
      <c r="D28" s="130">
        <v>9145.6</v>
      </c>
      <c r="E28" s="130" t="e">
        <f>E30+E35+E36+E37+E40+E41+E42+E43+#REF!</f>
        <v>#REF!</v>
      </c>
      <c r="F28" s="130" t="e">
        <f>F30+F35+F36+F37+F40+F41+F42+F43+#REF!</f>
        <v>#REF!</v>
      </c>
      <c r="G28" s="131" t="e">
        <f t="shared" si="7"/>
        <v>#REF!</v>
      </c>
      <c r="H28" s="131" t="e">
        <f>H30+H35+H36+H37+H40+H41+H43+#REF!</f>
        <v>#REF!</v>
      </c>
      <c r="I28" s="131" t="e">
        <f>I30+I35+I36+I37+I40+I41+I43+#REF!</f>
        <v>#REF!</v>
      </c>
      <c r="J28" s="131" t="e">
        <f>J30+J35+J36+J37+J40+J41+J43+#REF!</f>
        <v>#REF!</v>
      </c>
      <c r="K28" s="131" t="e">
        <f>K30+K35+K36+K37+K40+K41+K43+#REF!</f>
        <v>#REF!</v>
      </c>
      <c r="L28" s="131" t="e">
        <f>L30+L35+L36+L37+L40+L41+L43+#REF!</f>
        <v>#REF!</v>
      </c>
      <c r="M28" s="126"/>
      <c r="N28" s="134">
        <f t="shared" ref="N28:T28" si="9">N27</f>
        <v>61360.794006822318</v>
      </c>
      <c r="O28" s="121">
        <f t="shared" si="9"/>
        <v>11755.314778666667</v>
      </c>
      <c r="P28" s="121">
        <f t="shared" si="9"/>
        <v>12433.77599</v>
      </c>
      <c r="Q28" s="121">
        <f t="shared" si="9"/>
        <v>12051.908920753065</v>
      </c>
      <c r="R28" s="121">
        <f t="shared" si="9"/>
        <v>12387.21468837566</v>
      </c>
      <c r="S28" s="121">
        <f t="shared" si="9"/>
        <v>12732.579629026928</v>
      </c>
      <c r="T28" s="121">
        <f t="shared" si="9"/>
        <v>13799.540000000003</v>
      </c>
      <c r="U28" s="121">
        <f t="shared" si="4"/>
        <v>1365.7640100000026</v>
      </c>
      <c r="V28" s="121">
        <f t="shared" si="5"/>
        <v>10.984306063567763</v>
      </c>
    </row>
    <row r="29" spans="1:22">
      <c r="A29" s="127"/>
      <c r="B29" s="141" t="s">
        <v>6</v>
      </c>
      <c r="C29" s="129"/>
      <c r="D29" s="130"/>
      <c r="E29" s="130"/>
      <c r="F29" s="130"/>
      <c r="G29" s="130"/>
      <c r="H29" s="132"/>
      <c r="I29" s="132"/>
      <c r="J29" s="132"/>
      <c r="K29" s="132"/>
      <c r="L29" s="132"/>
      <c r="M29" s="126"/>
      <c r="N29" s="119"/>
      <c r="O29" s="126"/>
      <c r="P29" s="126"/>
      <c r="Q29" s="126"/>
      <c r="R29" s="126"/>
      <c r="S29" s="126"/>
      <c r="T29" s="126"/>
      <c r="U29" s="121"/>
      <c r="V29" s="121"/>
    </row>
    <row r="30" spans="1:22">
      <c r="A30" s="122" t="s">
        <v>28</v>
      </c>
      <c r="B30" s="140" t="s">
        <v>165</v>
      </c>
      <c r="C30" s="116"/>
      <c r="D30" s="124">
        <f>D32+D33</f>
        <v>5667.95</v>
      </c>
      <c r="E30" s="124">
        <f>E32+E33</f>
        <v>6672.91</v>
      </c>
      <c r="F30" s="124">
        <f>F32+F33</f>
        <v>6873.5999999999995</v>
      </c>
      <c r="G30" s="124">
        <f>H30+I30+J30+K30+L30</f>
        <v>39877.299999999996</v>
      </c>
      <c r="H30" s="124">
        <f>H32+H33</f>
        <v>6934.3</v>
      </c>
      <c r="I30" s="124">
        <f>I32+I33</f>
        <v>7419.7</v>
      </c>
      <c r="J30" s="124">
        <f>J32+J33</f>
        <v>7939.1</v>
      </c>
      <c r="K30" s="124">
        <f>K32+K33</f>
        <v>8494.7999999999993</v>
      </c>
      <c r="L30" s="124">
        <f>L32+L33</f>
        <v>9089.4</v>
      </c>
      <c r="M30" s="126"/>
      <c r="N30" s="119">
        <f t="shared" si="2"/>
        <v>36468.675274837333</v>
      </c>
      <c r="O30" s="120">
        <f>O32+O33</f>
        <v>7100.0763120000001</v>
      </c>
      <c r="P30" s="120">
        <f>P32+P33+P34</f>
        <v>8023.94</v>
      </c>
      <c r="Q30" s="120">
        <f>Q32+Q33</f>
        <v>6905.6452692863995</v>
      </c>
      <c r="R30" s="120">
        <f>R32+R33</f>
        <v>7112.8146273649918</v>
      </c>
      <c r="S30" s="120">
        <f>S32+S33</f>
        <v>7326.1990661859409</v>
      </c>
      <c r="T30" s="120">
        <f>T32+T33+T34</f>
        <v>8232.630000000001</v>
      </c>
      <c r="U30" s="121">
        <f t="shared" si="4"/>
        <v>208.69000000000142</v>
      </c>
      <c r="V30" s="121">
        <f t="shared" si="5"/>
        <v>2.6008419803737493</v>
      </c>
    </row>
    <row r="31" spans="1:22">
      <c r="A31" s="142"/>
      <c r="B31" s="141" t="s">
        <v>166</v>
      </c>
      <c r="C31" s="116"/>
      <c r="D31" s="124"/>
      <c r="E31" s="124"/>
      <c r="F31" s="124"/>
      <c r="G31" s="124"/>
      <c r="H31" s="138"/>
      <c r="I31" s="138"/>
      <c r="J31" s="138"/>
      <c r="K31" s="138"/>
      <c r="L31" s="138"/>
      <c r="M31" s="126"/>
      <c r="N31" s="119"/>
      <c r="O31" s="126"/>
      <c r="P31" s="126"/>
      <c r="Q31" s="126"/>
      <c r="R31" s="126"/>
      <c r="S31" s="126"/>
      <c r="T31" s="126"/>
      <c r="U31" s="121"/>
      <c r="V31" s="121"/>
    </row>
    <row r="32" spans="1:22" ht="30">
      <c r="A32" s="142" t="s">
        <v>167</v>
      </c>
      <c r="B32" s="143" t="s">
        <v>41</v>
      </c>
      <c r="C32" s="129" t="s">
        <v>4</v>
      </c>
      <c r="D32" s="130">
        <v>5280.71</v>
      </c>
      <c r="E32" s="130">
        <v>6102.84</v>
      </c>
      <c r="F32" s="130">
        <v>6399.4</v>
      </c>
      <c r="G32" s="130">
        <f t="shared" ref="G32:G41" si="10">H32+I32+J32+K32+L32</f>
        <v>37152.600000000006</v>
      </c>
      <c r="H32" s="132">
        <v>6460.5</v>
      </c>
      <c r="I32" s="132">
        <v>6912.7</v>
      </c>
      <c r="J32" s="132">
        <v>7396.6</v>
      </c>
      <c r="K32" s="132">
        <v>7914.4</v>
      </c>
      <c r="L32" s="132">
        <v>8468.4</v>
      </c>
      <c r="M32" s="126"/>
      <c r="N32" s="134">
        <f t="shared" si="2"/>
        <v>33173.549685930237</v>
      </c>
      <c r="O32" s="121">
        <f>O60*O57*12/1000</f>
        <v>6460.4880000000003</v>
      </c>
      <c r="P32" s="121">
        <v>7291.17</v>
      </c>
      <c r="Q32" s="121">
        <f>Q60*Q57*12/1000</f>
        <v>6283.5716735999995</v>
      </c>
      <c r="R32" s="121">
        <f>R60*R57*12/1000</f>
        <v>6472.0788238079995</v>
      </c>
      <c r="S32" s="121">
        <f>S60*S57*12/1000</f>
        <v>6666.2411885222391</v>
      </c>
      <c r="T32" s="121">
        <v>7478.04</v>
      </c>
      <c r="U32" s="121">
        <f t="shared" si="4"/>
        <v>186.86999999999989</v>
      </c>
      <c r="V32" s="121">
        <f t="shared" si="5"/>
        <v>2.5629631458325601</v>
      </c>
    </row>
    <row r="33" spans="1:22">
      <c r="A33" s="142" t="s">
        <v>168</v>
      </c>
      <c r="B33" s="141" t="s">
        <v>23</v>
      </c>
      <c r="C33" s="129" t="s">
        <v>4</v>
      </c>
      <c r="D33" s="130">
        <v>387.24</v>
      </c>
      <c r="E33" s="130">
        <v>570.07000000000005</v>
      </c>
      <c r="F33" s="130">
        <v>474.2</v>
      </c>
      <c r="G33" s="130">
        <f t="shared" si="10"/>
        <v>2724.7</v>
      </c>
      <c r="H33" s="132">
        <v>473.8</v>
      </c>
      <c r="I33" s="132">
        <v>507</v>
      </c>
      <c r="J33" s="132">
        <v>542.5</v>
      </c>
      <c r="K33" s="132">
        <v>580.4</v>
      </c>
      <c r="L33" s="132">
        <v>621</v>
      </c>
      <c r="M33" s="126"/>
      <c r="N33" s="134">
        <f t="shared" si="2"/>
        <v>3185.7555889070936</v>
      </c>
      <c r="O33" s="121">
        <f>O32*0.9*0.11</f>
        <v>639.58831200000009</v>
      </c>
      <c r="P33" s="121">
        <v>623.4</v>
      </c>
      <c r="Q33" s="121">
        <f>Q32*0.9*0.11</f>
        <v>622.07359568639993</v>
      </c>
      <c r="R33" s="121">
        <f>R32*0.9*0.11</f>
        <v>640.73580355699198</v>
      </c>
      <c r="S33" s="121">
        <f>S32*0.9*0.11</f>
        <v>659.95787766370177</v>
      </c>
      <c r="T33" s="121">
        <v>644.48</v>
      </c>
      <c r="U33" s="121">
        <f t="shared" si="4"/>
        <v>21.080000000000041</v>
      </c>
      <c r="V33" s="121">
        <f t="shared" si="5"/>
        <v>3.3814565287135134</v>
      </c>
    </row>
    <row r="34" spans="1:22">
      <c r="A34" s="142"/>
      <c r="B34" s="141" t="s">
        <v>143</v>
      </c>
      <c r="C34" s="129"/>
      <c r="D34" s="130"/>
      <c r="E34" s="130"/>
      <c r="F34" s="130"/>
      <c r="G34" s="130"/>
      <c r="H34" s="132"/>
      <c r="I34" s="132"/>
      <c r="J34" s="132"/>
      <c r="K34" s="132"/>
      <c r="L34" s="132"/>
      <c r="M34" s="126"/>
      <c r="N34" s="134"/>
      <c r="O34" s="121"/>
      <c r="P34" s="121">
        <v>109.37</v>
      </c>
      <c r="Q34" s="121"/>
      <c r="R34" s="121"/>
      <c r="S34" s="121"/>
      <c r="T34" s="121">
        <v>110.11</v>
      </c>
      <c r="U34" s="121">
        <f t="shared" si="4"/>
        <v>0.73999999999999488</v>
      </c>
      <c r="V34" s="121">
        <f t="shared" si="5"/>
        <v>0.67660235896497656</v>
      </c>
    </row>
    <row r="35" spans="1:22">
      <c r="A35" s="142" t="s">
        <v>169</v>
      </c>
      <c r="B35" s="141" t="s">
        <v>42</v>
      </c>
      <c r="C35" s="129" t="s">
        <v>4</v>
      </c>
      <c r="D35" s="130">
        <v>102.4</v>
      </c>
      <c r="E35" s="130">
        <v>484.9</v>
      </c>
      <c r="F35" s="130">
        <v>424.35</v>
      </c>
      <c r="G35" s="130">
        <f t="shared" si="10"/>
        <v>2144</v>
      </c>
      <c r="H35" s="132">
        <v>386.8</v>
      </c>
      <c r="I35" s="132">
        <v>413.9</v>
      </c>
      <c r="J35" s="132">
        <v>442.9</v>
      </c>
      <c r="K35" s="132">
        <v>473.9</v>
      </c>
      <c r="L35" s="132">
        <v>426.5</v>
      </c>
      <c r="M35" s="126"/>
      <c r="N35" s="134">
        <f t="shared" si="2"/>
        <v>2098.4916510400003</v>
      </c>
      <c r="O35" s="121">
        <v>386.8</v>
      </c>
      <c r="P35" s="121">
        <f>O35*1.05</f>
        <v>406.14000000000004</v>
      </c>
      <c r="Q35" s="121">
        <f>P35*1.04</f>
        <v>422.38560000000007</v>
      </c>
      <c r="R35" s="121">
        <f>Q35*1.03</f>
        <v>435.0571680000001</v>
      </c>
      <c r="S35" s="121">
        <f>R35*1.03</f>
        <v>448.10888304000014</v>
      </c>
      <c r="T35" s="121">
        <v>433.7</v>
      </c>
      <c r="U35" s="121">
        <f t="shared" si="4"/>
        <v>27.559999999999945</v>
      </c>
      <c r="V35" s="121">
        <f t="shared" si="5"/>
        <v>6.7858373959718179</v>
      </c>
    </row>
    <row r="36" spans="1:22">
      <c r="A36" s="142" t="s">
        <v>170</v>
      </c>
      <c r="B36" s="141" t="s">
        <v>43</v>
      </c>
      <c r="C36" s="129" t="s">
        <v>4</v>
      </c>
      <c r="D36" s="130">
        <v>289.10000000000002</v>
      </c>
      <c r="E36" s="130">
        <v>430.73</v>
      </c>
      <c r="F36" s="130">
        <v>493.95</v>
      </c>
      <c r="G36" s="130">
        <f t="shared" si="10"/>
        <v>2728.7</v>
      </c>
      <c r="H36" s="132">
        <v>493.5</v>
      </c>
      <c r="I36" s="132">
        <v>518.6</v>
      </c>
      <c r="J36" s="132">
        <v>544.5</v>
      </c>
      <c r="K36" s="132">
        <v>571.79999999999995</v>
      </c>
      <c r="L36" s="132">
        <v>600.29999999999995</v>
      </c>
      <c r="M36" s="126"/>
      <c r="N36" s="134">
        <f t="shared" si="2"/>
        <v>2477.0328525946406</v>
      </c>
      <c r="O36" s="121">
        <f>E36*1.06</f>
        <v>456.57380000000006</v>
      </c>
      <c r="P36" s="121">
        <f>O36*1.05</f>
        <v>479.40249000000011</v>
      </c>
      <c r="Q36" s="121">
        <f>P36*1.04</f>
        <v>498.57858960000016</v>
      </c>
      <c r="R36" s="121">
        <f>Q36*1.03</f>
        <v>513.53594728800022</v>
      </c>
      <c r="S36" s="121">
        <f>R36*1.03</f>
        <v>528.94202570664027</v>
      </c>
      <c r="T36" s="121">
        <v>1121.78</v>
      </c>
      <c r="U36" s="121">
        <f t="shared" si="4"/>
        <v>642.3775099999998</v>
      </c>
      <c r="V36" s="121">
        <f t="shared" si="5"/>
        <v>133.99544712418987</v>
      </c>
    </row>
    <row r="37" spans="1:22">
      <c r="A37" s="144" t="s">
        <v>171</v>
      </c>
      <c r="B37" s="140" t="s">
        <v>44</v>
      </c>
      <c r="C37" s="116" t="s">
        <v>4</v>
      </c>
      <c r="D37" s="124">
        <f>D38+D39</f>
        <v>370.99</v>
      </c>
      <c r="E37" s="124">
        <f>E38+E39</f>
        <v>483.33</v>
      </c>
      <c r="F37" s="124">
        <f>F38+F39</f>
        <v>409.24</v>
      </c>
      <c r="G37" s="130">
        <f t="shared" si="10"/>
        <v>2261.6</v>
      </c>
      <c r="H37" s="124">
        <f>H38+H39</f>
        <v>409.3</v>
      </c>
      <c r="I37" s="124">
        <f>I38+I39</f>
        <v>429.70000000000005</v>
      </c>
      <c r="J37" s="124">
        <f>J38+J39</f>
        <v>451.3</v>
      </c>
      <c r="K37" s="124">
        <f>K38+K39</f>
        <v>473.79999999999995</v>
      </c>
      <c r="L37" s="124">
        <f>L38+L39</f>
        <v>497.5</v>
      </c>
      <c r="M37" s="126"/>
      <c r="N37" s="119">
        <f t="shared" si="2"/>
        <v>2220.397306156</v>
      </c>
      <c r="O37" s="120">
        <f t="shared" ref="O37:T37" si="11">O38+O39</f>
        <v>409.27</v>
      </c>
      <c r="P37" s="120">
        <f t="shared" si="11"/>
        <v>429.73350000000005</v>
      </c>
      <c r="Q37" s="120">
        <f t="shared" si="11"/>
        <v>446.92284000000006</v>
      </c>
      <c r="R37" s="120">
        <f t="shared" si="11"/>
        <v>460.33052520000001</v>
      </c>
      <c r="S37" s="120">
        <f t="shared" si="11"/>
        <v>474.14044095600002</v>
      </c>
      <c r="T37" s="120">
        <f t="shared" si="11"/>
        <v>448.47</v>
      </c>
      <c r="U37" s="121">
        <f t="shared" si="4"/>
        <v>18.736499999999978</v>
      </c>
      <c r="V37" s="121">
        <f t="shared" si="5"/>
        <v>4.3600277846618836</v>
      </c>
    </row>
    <row r="38" spans="1:22">
      <c r="A38" s="142" t="s">
        <v>172</v>
      </c>
      <c r="B38" s="141" t="s">
        <v>173</v>
      </c>
      <c r="C38" s="129"/>
      <c r="D38" s="130">
        <v>156.29</v>
      </c>
      <c r="E38" s="130">
        <v>178.56</v>
      </c>
      <c r="F38" s="130">
        <v>188.87</v>
      </c>
      <c r="G38" s="130">
        <f t="shared" si="10"/>
        <v>1043.8</v>
      </c>
      <c r="H38" s="132">
        <v>188.9</v>
      </c>
      <c r="I38" s="132">
        <v>198.3</v>
      </c>
      <c r="J38" s="132">
        <v>208.3</v>
      </c>
      <c r="K38" s="132">
        <v>218.7</v>
      </c>
      <c r="L38" s="132">
        <v>229.6</v>
      </c>
      <c r="M38" s="126"/>
      <c r="N38" s="134">
        <f t="shared" si="2"/>
        <v>1024.669385036</v>
      </c>
      <c r="O38" s="126">
        <v>188.87</v>
      </c>
      <c r="P38" s="121">
        <f>O38*1.05</f>
        <v>198.3135</v>
      </c>
      <c r="Q38" s="121">
        <f>P38*1.04</f>
        <v>206.24604000000002</v>
      </c>
      <c r="R38" s="121">
        <f t="shared" ref="R38:S41" si="12">Q38*1.03</f>
        <v>212.43342120000003</v>
      </c>
      <c r="S38" s="121">
        <f t="shared" si="12"/>
        <v>218.80642383600002</v>
      </c>
      <c r="T38" s="121">
        <v>206.81</v>
      </c>
      <c r="U38" s="121">
        <f t="shared" si="4"/>
        <v>8.4964999999999975</v>
      </c>
      <c r="V38" s="121">
        <f t="shared" si="5"/>
        <v>4.2843780176336947</v>
      </c>
    </row>
    <row r="39" spans="1:22">
      <c r="A39" s="142" t="s">
        <v>174</v>
      </c>
      <c r="B39" s="141" t="s">
        <v>108</v>
      </c>
      <c r="C39" s="129"/>
      <c r="D39" s="130">
        <v>214.7</v>
      </c>
      <c r="E39" s="130">
        <v>304.77</v>
      </c>
      <c r="F39" s="130">
        <v>220.37</v>
      </c>
      <c r="G39" s="130">
        <f t="shared" si="10"/>
        <v>1217.8</v>
      </c>
      <c r="H39" s="132">
        <v>220.4</v>
      </c>
      <c r="I39" s="132">
        <v>231.4</v>
      </c>
      <c r="J39" s="132">
        <v>243</v>
      </c>
      <c r="K39" s="132">
        <v>255.1</v>
      </c>
      <c r="L39" s="132">
        <v>267.89999999999998</v>
      </c>
      <c r="M39" s="126"/>
      <c r="N39" s="134">
        <f t="shared" si="2"/>
        <v>1195.7279211200002</v>
      </c>
      <c r="O39" s="121">
        <v>220.4</v>
      </c>
      <c r="P39" s="121">
        <f>O39*1.05</f>
        <v>231.42000000000002</v>
      </c>
      <c r="Q39" s="121">
        <f>P39*1.04</f>
        <v>240.67680000000001</v>
      </c>
      <c r="R39" s="121">
        <f t="shared" si="12"/>
        <v>247.89710400000001</v>
      </c>
      <c r="S39" s="121">
        <f t="shared" si="12"/>
        <v>255.33401712000003</v>
      </c>
      <c r="T39" s="121">
        <v>241.66</v>
      </c>
      <c r="U39" s="121">
        <f t="shared" si="4"/>
        <v>10.239999999999981</v>
      </c>
      <c r="V39" s="121">
        <f t="shared" si="5"/>
        <v>4.4248552415521472</v>
      </c>
    </row>
    <row r="40" spans="1:22">
      <c r="A40" s="127" t="s">
        <v>175</v>
      </c>
      <c r="B40" s="141" t="s">
        <v>59</v>
      </c>
      <c r="C40" s="129" t="s">
        <v>4</v>
      </c>
      <c r="D40" s="130">
        <v>441.16</v>
      </c>
      <c r="E40" s="130">
        <v>481.14</v>
      </c>
      <c r="F40" s="130">
        <v>598.96</v>
      </c>
      <c r="G40" s="130">
        <f t="shared" si="10"/>
        <v>3399.5</v>
      </c>
      <c r="H40" s="132">
        <v>615.20000000000005</v>
      </c>
      <c r="I40" s="132">
        <v>646</v>
      </c>
      <c r="J40" s="132">
        <v>678.3</v>
      </c>
      <c r="K40" s="132">
        <v>712.2</v>
      </c>
      <c r="L40" s="132">
        <v>747.8</v>
      </c>
      <c r="M40" s="126"/>
      <c r="N40" s="119">
        <f t="shared" si="2"/>
        <v>3337.62167456</v>
      </c>
      <c r="O40" s="121">
        <v>615.20000000000005</v>
      </c>
      <c r="P40" s="121">
        <f>O40*1.05</f>
        <v>645.96</v>
      </c>
      <c r="Q40" s="121">
        <f>P40*1.04</f>
        <v>671.79840000000002</v>
      </c>
      <c r="R40" s="121">
        <f t="shared" si="12"/>
        <v>691.95235200000002</v>
      </c>
      <c r="S40" s="121">
        <f t="shared" si="12"/>
        <v>712.71092256000009</v>
      </c>
      <c r="T40" s="121">
        <v>732.51</v>
      </c>
      <c r="U40" s="121">
        <f t="shared" si="4"/>
        <v>86.549999999999955</v>
      </c>
      <c r="V40" s="121">
        <f t="shared" si="5"/>
        <v>13.398662455879611</v>
      </c>
    </row>
    <row r="41" spans="1:22" ht="30">
      <c r="A41" s="127" t="s">
        <v>176</v>
      </c>
      <c r="B41" s="143" t="s">
        <v>177</v>
      </c>
      <c r="C41" s="129"/>
      <c r="D41" s="130">
        <v>14.03</v>
      </c>
      <c r="E41" s="130">
        <v>16.829999999999998</v>
      </c>
      <c r="F41" s="130">
        <v>16.829999999999998</v>
      </c>
      <c r="G41" s="130">
        <f t="shared" si="10"/>
        <v>92.700000000000017</v>
      </c>
      <c r="H41" s="132">
        <v>16.8</v>
      </c>
      <c r="I41" s="132">
        <v>17.600000000000001</v>
      </c>
      <c r="J41" s="132">
        <v>18.5</v>
      </c>
      <c r="K41" s="132">
        <v>19.399999999999999</v>
      </c>
      <c r="L41" s="132">
        <v>20.399999999999999</v>
      </c>
      <c r="M41" s="126"/>
      <c r="N41" s="119">
        <f t="shared" si="2"/>
        <v>91.144415039999998</v>
      </c>
      <c r="O41" s="121">
        <v>16.8</v>
      </c>
      <c r="P41" s="121">
        <f>O41*1.05</f>
        <v>17.64</v>
      </c>
      <c r="Q41" s="121">
        <f>P41*1.04</f>
        <v>18.345600000000001</v>
      </c>
      <c r="R41" s="121">
        <f t="shared" si="12"/>
        <v>18.895968</v>
      </c>
      <c r="S41" s="121">
        <f t="shared" si="12"/>
        <v>19.46284704</v>
      </c>
      <c r="T41" s="121">
        <v>18.399999999999999</v>
      </c>
      <c r="U41" s="121">
        <f t="shared" si="4"/>
        <v>0.75999999999999801</v>
      </c>
      <c r="V41" s="121">
        <f t="shared" si="5"/>
        <v>4.3083900226757255</v>
      </c>
    </row>
    <row r="42" spans="1:22">
      <c r="A42" s="127" t="s">
        <v>178</v>
      </c>
      <c r="B42" s="141" t="s">
        <v>179</v>
      </c>
      <c r="C42" s="129" t="s">
        <v>4</v>
      </c>
      <c r="D42" s="130">
        <v>96.3</v>
      </c>
      <c r="E42" s="130">
        <v>172.97</v>
      </c>
      <c r="F42" s="130">
        <v>172.97</v>
      </c>
      <c r="G42" s="130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26"/>
      <c r="N42" s="119"/>
      <c r="O42" s="126"/>
      <c r="P42" s="126">
        <v>239.1</v>
      </c>
      <c r="Q42" s="126"/>
      <c r="R42" s="126"/>
      <c r="S42" s="126"/>
      <c r="T42" s="126">
        <v>575.95000000000005</v>
      </c>
      <c r="U42" s="121">
        <f t="shared" si="4"/>
        <v>336.85</v>
      </c>
      <c r="V42" s="121">
        <f t="shared" si="5"/>
        <v>140.88247595148476</v>
      </c>
    </row>
    <row r="43" spans="1:22">
      <c r="A43" s="127" t="s">
        <v>180</v>
      </c>
      <c r="B43" s="141" t="s">
        <v>61</v>
      </c>
      <c r="C43" s="129" t="s">
        <v>4</v>
      </c>
      <c r="D43" s="130">
        <v>822.5</v>
      </c>
      <c r="E43" s="130">
        <v>825.52</v>
      </c>
      <c r="F43" s="130">
        <v>638.37</v>
      </c>
      <c r="G43" s="131">
        <f>H43+I43+J43+K43+L43</f>
        <v>6187.1</v>
      </c>
      <c r="H43" s="132">
        <v>1119.7</v>
      </c>
      <c r="I43" s="132">
        <v>1175.7</v>
      </c>
      <c r="J43" s="132">
        <v>1234.5</v>
      </c>
      <c r="K43" s="132">
        <v>1296.2</v>
      </c>
      <c r="L43" s="133">
        <v>1361</v>
      </c>
      <c r="M43" s="126"/>
      <c r="N43" s="119">
        <f t="shared" si="2"/>
        <v>4337.74</v>
      </c>
      <c r="O43" s="126">
        <v>875.05</v>
      </c>
      <c r="P43" s="126">
        <v>837.54</v>
      </c>
      <c r="Q43" s="126">
        <v>875.05</v>
      </c>
      <c r="R43" s="126">
        <v>875.05</v>
      </c>
      <c r="S43" s="126">
        <v>875.05</v>
      </c>
      <c r="T43" s="126">
        <v>844.6</v>
      </c>
      <c r="U43" s="121">
        <f t="shared" si="4"/>
        <v>7.0600000000000591</v>
      </c>
      <c r="V43" s="121">
        <f t="shared" si="5"/>
        <v>0.84294481457602732</v>
      </c>
    </row>
    <row r="44" spans="1:22">
      <c r="A44" s="145" t="s">
        <v>181</v>
      </c>
      <c r="B44" s="146" t="s">
        <v>182</v>
      </c>
      <c r="C44" s="147"/>
      <c r="D44" s="148">
        <v>1341.17</v>
      </c>
      <c r="E44" s="148">
        <v>1341.17</v>
      </c>
      <c r="F44" s="130">
        <v>1073.57</v>
      </c>
      <c r="G44" s="131">
        <f>H44+I44+J44+K44+L44</f>
        <v>10902.7</v>
      </c>
      <c r="H44" s="132">
        <v>1897.5</v>
      </c>
      <c r="I44" s="132">
        <v>2028.2</v>
      </c>
      <c r="J44" s="132">
        <v>2170.1999999999998</v>
      </c>
      <c r="K44" s="132">
        <v>2322.1</v>
      </c>
      <c r="L44" s="132">
        <v>2484.6999999999998</v>
      </c>
      <c r="M44" s="126"/>
      <c r="N44" s="119">
        <f t="shared" si="2"/>
        <v>10090.590832594347</v>
      </c>
      <c r="O44" s="121">
        <f>(O17+O32)/12/1.5</f>
        <v>1895.5446666666664</v>
      </c>
      <c r="P44" s="121">
        <v>1354.32</v>
      </c>
      <c r="Q44" s="121">
        <f>(Q17+Q32)/12/1.5</f>
        <v>2213.182621866667</v>
      </c>
      <c r="R44" s="121">
        <f>(R17+R32)/12/1.5</f>
        <v>2279.5781005226668</v>
      </c>
      <c r="S44" s="121">
        <f>(S17+S32)/12/1.5</f>
        <v>2347.9654435383468</v>
      </c>
      <c r="T44" s="121">
        <v>1391.5</v>
      </c>
      <c r="U44" s="121">
        <f t="shared" si="4"/>
        <v>37.180000000000064</v>
      </c>
      <c r="V44" s="121">
        <f t="shared" si="5"/>
        <v>2.7452891487979256</v>
      </c>
    </row>
    <row r="45" spans="1:22">
      <c r="A45" s="122" t="s">
        <v>76</v>
      </c>
      <c r="B45" s="140" t="s">
        <v>77</v>
      </c>
      <c r="C45" s="116" t="s">
        <v>4</v>
      </c>
      <c r="D45" s="125">
        <f>D7+D27</f>
        <v>55315.45</v>
      </c>
      <c r="E45" s="117" t="e">
        <f>E7+E27</f>
        <v>#REF!</v>
      </c>
      <c r="F45" s="117" t="e">
        <f>F7+F27</f>
        <v>#REF!</v>
      </c>
      <c r="G45" s="125" t="e">
        <f t="shared" ref="G45:G50" si="13">H45+I45+J45+K45+L45</f>
        <v>#REF!</v>
      </c>
      <c r="H45" s="117" t="e">
        <f>H7+H27</f>
        <v>#REF!</v>
      </c>
      <c r="I45" s="117" t="e">
        <f>I7+I27</f>
        <v>#REF!</v>
      </c>
      <c r="J45" s="117" t="e">
        <f>J7+J27</f>
        <v>#REF!</v>
      </c>
      <c r="K45" s="117" t="e">
        <f>K7+K27</f>
        <v>#REF!</v>
      </c>
      <c r="L45" s="117" t="e">
        <f>L7+L27</f>
        <v>#REF!</v>
      </c>
      <c r="M45" s="126"/>
      <c r="N45" s="119">
        <f t="shared" si="2"/>
        <v>416775.99901772116</v>
      </c>
      <c r="O45" s="120">
        <f t="shared" ref="O45:T45" si="14">O27+O7</f>
        <v>77997.258062666675</v>
      </c>
      <c r="P45" s="120">
        <f t="shared" si="14"/>
        <v>82040.216539999994</v>
      </c>
      <c r="Q45" s="120">
        <f t="shared" si="14"/>
        <v>83576.733249233061</v>
      </c>
      <c r="R45" s="120">
        <f t="shared" si="14"/>
        <v>85600.275746710075</v>
      </c>
      <c r="S45" s="120">
        <f t="shared" si="14"/>
        <v>87561.515419111354</v>
      </c>
      <c r="T45" s="120">
        <f t="shared" si="14"/>
        <v>87054.02</v>
      </c>
      <c r="U45" s="121">
        <f t="shared" si="4"/>
        <v>5013.8034600000101</v>
      </c>
      <c r="V45" s="121">
        <f t="shared" si="5"/>
        <v>6.1113971555102511</v>
      </c>
    </row>
    <row r="46" spans="1:22">
      <c r="A46" s="122" t="s">
        <v>78</v>
      </c>
      <c r="B46" s="141" t="s">
        <v>149</v>
      </c>
      <c r="C46" s="129" t="s">
        <v>4</v>
      </c>
      <c r="D46" s="130">
        <v>1261.94</v>
      </c>
      <c r="E46" s="149" t="e">
        <f>E47-E45</f>
        <v>#REF!</v>
      </c>
      <c r="F46" s="149" t="e">
        <f>F47-F45</f>
        <v>#REF!</v>
      </c>
      <c r="G46" s="131">
        <f t="shared" si="13"/>
        <v>17782.780000000002</v>
      </c>
      <c r="H46" s="132">
        <v>4090.58</v>
      </c>
      <c r="I46" s="132">
        <v>3804.2</v>
      </c>
      <c r="J46" s="132">
        <v>3537.9</v>
      </c>
      <c r="K46" s="132">
        <v>3290.2</v>
      </c>
      <c r="L46" s="132">
        <v>3059.9</v>
      </c>
      <c r="M46" s="126"/>
      <c r="N46" s="134">
        <v>0</v>
      </c>
      <c r="O46" s="126">
        <v>0</v>
      </c>
      <c r="P46" s="126">
        <v>0</v>
      </c>
      <c r="Q46" s="126">
        <v>0</v>
      </c>
      <c r="R46" s="126">
        <v>0</v>
      </c>
      <c r="S46" s="126">
        <v>0</v>
      </c>
      <c r="T46" s="121">
        <f>T47-T45</f>
        <v>-9940.6300000000047</v>
      </c>
      <c r="U46" s="121">
        <f t="shared" si="4"/>
        <v>-9940.6300000000047</v>
      </c>
      <c r="V46" s="121"/>
    </row>
    <row r="47" spans="1:22">
      <c r="A47" s="114" t="s">
        <v>79</v>
      </c>
      <c r="B47" s="140" t="s">
        <v>82</v>
      </c>
      <c r="C47" s="116" t="s">
        <v>4</v>
      </c>
      <c r="D47" s="150">
        <v>56577.39</v>
      </c>
      <c r="E47" s="124">
        <v>60000.82</v>
      </c>
      <c r="F47" s="124">
        <v>59942.06</v>
      </c>
      <c r="G47" s="125" t="e">
        <f t="shared" si="13"/>
        <v>#REF!</v>
      </c>
      <c r="H47" s="117" t="e">
        <f>H45+H46</f>
        <v>#REF!</v>
      </c>
      <c r="I47" s="117" t="e">
        <f>I45+I46</f>
        <v>#REF!</v>
      </c>
      <c r="J47" s="117" t="e">
        <f>J45+J46</f>
        <v>#REF!</v>
      </c>
      <c r="K47" s="117" t="e">
        <f>K45+K46</f>
        <v>#REF!</v>
      </c>
      <c r="L47" s="117" t="e">
        <f>L45+L46</f>
        <v>#REF!</v>
      </c>
      <c r="M47" s="126"/>
      <c r="N47" s="119">
        <f t="shared" si="2"/>
        <v>416775.99901772116</v>
      </c>
      <c r="O47" s="120">
        <f>O45+O46</f>
        <v>77997.258062666675</v>
      </c>
      <c r="P47" s="120">
        <f>P45+P46</f>
        <v>82040.216539999994</v>
      </c>
      <c r="Q47" s="120">
        <f>Q45+Q46</f>
        <v>83576.733249233061</v>
      </c>
      <c r="R47" s="120">
        <f>R45+R46</f>
        <v>85600.275746710075</v>
      </c>
      <c r="S47" s="120">
        <f>S45+S46</f>
        <v>87561.515419111354</v>
      </c>
      <c r="T47" s="120">
        <f>T50</f>
        <v>77113.39</v>
      </c>
      <c r="U47" s="121">
        <f t="shared" si="4"/>
        <v>-4926.8265399999946</v>
      </c>
      <c r="V47" s="121">
        <f t="shared" si="5"/>
        <v>-6.0053797366537216</v>
      </c>
    </row>
    <row r="48" spans="1:22">
      <c r="A48" s="151" t="s">
        <v>83</v>
      </c>
      <c r="B48" s="141" t="s">
        <v>84</v>
      </c>
      <c r="C48" s="129" t="s">
        <v>4</v>
      </c>
      <c r="D48" s="130">
        <v>20415.490000000002</v>
      </c>
      <c r="E48" s="130">
        <v>22180.3</v>
      </c>
      <c r="F48" s="130">
        <v>22158.58</v>
      </c>
      <c r="G48" s="131">
        <f t="shared" si="13"/>
        <v>110792.90000000001</v>
      </c>
      <c r="H48" s="130">
        <v>22158.58</v>
      </c>
      <c r="I48" s="130">
        <v>22158.58</v>
      </c>
      <c r="J48" s="130">
        <v>22158.58</v>
      </c>
      <c r="K48" s="130">
        <v>22158.58</v>
      </c>
      <c r="L48" s="130">
        <v>22158.58</v>
      </c>
      <c r="M48" s="126"/>
      <c r="N48" s="134">
        <f t="shared" si="2"/>
        <v>110792.90000000001</v>
      </c>
      <c r="O48" s="152">
        <v>22158.58</v>
      </c>
      <c r="P48" s="152">
        <v>22158.58</v>
      </c>
      <c r="Q48" s="152">
        <v>22158.58</v>
      </c>
      <c r="R48" s="152">
        <v>22158.58</v>
      </c>
      <c r="S48" s="152">
        <v>22158.58</v>
      </c>
      <c r="T48" s="152">
        <v>23130.799999999999</v>
      </c>
      <c r="U48" s="121">
        <f t="shared" si="4"/>
        <v>972.21999999999753</v>
      </c>
      <c r="V48" s="121">
        <f t="shared" si="5"/>
        <v>4.3875555202544447</v>
      </c>
    </row>
    <row r="49" spans="1:22">
      <c r="A49" s="151" t="s">
        <v>85</v>
      </c>
      <c r="B49" s="146" t="s">
        <v>183</v>
      </c>
      <c r="C49" s="129" t="s">
        <v>4</v>
      </c>
      <c r="D49" s="148"/>
      <c r="E49" s="148"/>
      <c r="F49" s="148"/>
      <c r="G49" s="131">
        <f t="shared" si="13"/>
        <v>53063.5</v>
      </c>
      <c r="H49" s="130">
        <v>10612.7</v>
      </c>
      <c r="I49" s="130">
        <v>10612.7</v>
      </c>
      <c r="J49" s="130">
        <v>10612.7</v>
      </c>
      <c r="K49" s="130">
        <v>10612.7</v>
      </c>
      <c r="L49" s="130">
        <v>10612.7</v>
      </c>
      <c r="M49" s="126"/>
      <c r="N49" s="134">
        <f t="shared" si="2"/>
        <v>53063.5</v>
      </c>
      <c r="O49" s="126">
        <v>10612.7</v>
      </c>
      <c r="P49" s="126">
        <v>10612.7</v>
      </c>
      <c r="Q49" s="126">
        <v>10612.7</v>
      </c>
      <c r="R49" s="126">
        <v>10612.7</v>
      </c>
      <c r="S49" s="126">
        <v>10612.7</v>
      </c>
      <c r="T49" s="126"/>
      <c r="U49" s="121">
        <f t="shared" si="4"/>
        <v>-10612.7</v>
      </c>
      <c r="V49" s="121">
        <f t="shared" si="5"/>
        <v>-100</v>
      </c>
    </row>
    <row r="50" spans="1:22" s="155" customFormat="1">
      <c r="A50" s="151" t="s">
        <v>91</v>
      </c>
      <c r="B50" s="153" t="s">
        <v>82</v>
      </c>
      <c r="C50" s="129" t="s">
        <v>4</v>
      </c>
      <c r="D50" s="154"/>
      <c r="E50" s="154"/>
      <c r="F50" s="154"/>
      <c r="G50" s="125" t="e">
        <f t="shared" si="13"/>
        <v>#REF!</v>
      </c>
      <c r="H50" s="117" t="e">
        <f>H47-H49</f>
        <v>#REF!</v>
      </c>
      <c r="I50" s="117" t="e">
        <f>I47-I49</f>
        <v>#REF!</v>
      </c>
      <c r="J50" s="117" t="e">
        <f>J47-J49</f>
        <v>#REF!</v>
      </c>
      <c r="K50" s="117" t="e">
        <f>K47-K49</f>
        <v>#REF!</v>
      </c>
      <c r="L50" s="117" t="e">
        <f>L47-L49</f>
        <v>#REF!</v>
      </c>
      <c r="M50" s="139"/>
      <c r="N50" s="119">
        <f t="shared" si="2"/>
        <v>363712.49901772116</v>
      </c>
      <c r="O50" s="120">
        <f t="shared" ref="O50:S50" si="15">O47-O49</f>
        <v>67384.558062666678</v>
      </c>
      <c r="P50" s="120">
        <f t="shared" si="15"/>
        <v>71427.516539999997</v>
      </c>
      <c r="Q50" s="120">
        <f t="shared" si="15"/>
        <v>72964.033249233064</v>
      </c>
      <c r="R50" s="120">
        <f t="shared" si="15"/>
        <v>74987.575746710078</v>
      </c>
      <c r="S50" s="120">
        <f t="shared" si="15"/>
        <v>76948.815419111357</v>
      </c>
      <c r="T50" s="120">
        <v>77113.39</v>
      </c>
      <c r="U50" s="121">
        <f t="shared" si="4"/>
        <v>5685.8734600000025</v>
      </c>
      <c r="V50" s="121">
        <f t="shared" si="5"/>
        <v>7.9603404058096672</v>
      </c>
    </row>
    <row r="51" spans="1:22">
      <c r="A51" s="114" t="s">
        <v>184</v>
      </c>
      <c r="B51" s="146" t="s">
        <v>86</v>
      </c>
      <c r="C51" s="129" t="s">
        <v>87</v>
      </c>
      <c r="D51" s="148">
        <v>25</v>
      </c>
      <c r="E51" s="148">
        <v>20</v>
      </c>
      <c r="F51" s="148">
        <v>19.8</v>
      </c>
      <c r="G51" s="131">
        <v>18.399999999999999</v>
      </c>
      <c r="H51" s="132">
        <v>18.899999999999999</v>
      </c>
      <c r="I51" s="132">
        <v>18.399999999999999</v>
      </c>
      <c r="J51" s="132">
        <v>18.3</v>
      </c>
      <c r="K51" s="132">
        <v>18.2</v>
      </c>
      <c r="L51" s="132">
        <v>18.100000000000001</v>
      </c>
      <c r="M51" s="126"/>
      <c r="N51" s="134">
        <v>18.399999999999999</v>
      </c>
      <c r="O51" s="126">
        <v>18.899999999999999</v>
      </c>
      <c r="P51" s="156">
        <v>18.399999999999999</v>
      </c>
      <c r="Q51" s="157">
        <v>18.3</v>
      </c>
      <c r="R51" s="156">
        <v>18.2</v>
      </c>
      <c r="S51" s="158">
        <v>18.100000000000001</v>
      </c>
      <c r="T51" s="156">
        <v>18.399999999999999</v>
      </c>
      <c r="U51" s="121">
        <f t="shared" si="4"/>
        <v>0</v>
      </c>
      <c r="V51" s="121">
        <f t="shared" si="5"/>
        <v>0</v>
      </c>
    </row>
    <row r="52" spans="1:22">
      <c r="A52" s="122" t="s">
        <v>185</v>
      </c>
      <c r="B52" s="159" t="s">
        <v>186</v>
      </c>
      <c r="C52" s="160" t="s">
        <v>187</v>
      </c>
      <c r="D52" s="161">
        <v>2771.3</v>
      </c>
      <c r="E52" s="161">
        <v>2705.14</v>
      </c>
      <c r="F52" s="161">
        <f>F47/F48*1000</f>
        <v>2705.1399503036746</v>
      </c>
      <c r="G52" s="161" t="e">
        <f>G50/G48*1000</f>
        <v>#REF!</v>
      </c>
      <c r="H52" s="161" t="e">
        <f>H50/H48*1000</f>
        <v>#REF!</v>
      </c>
      <c r="I52" s="161" t="e">
        <f>(I47-I49)/I48*1000</f>
        <v>#REF!</v>
      </c>
      <c r="J52" s="161" t="e">
        <f>(J47-J49)/J48*1000</f>
        <v>#REF!</v>
      </c>
      <c r="K52" s="161" t="e">
        <f>(K47-K49)/K48*1000</f>
        <v>#REF!</v>
      </c>
      <c r="L52" s="161" t="e">
        <f>(L47-L49)/L48*1000</f>
        <v>#REF!</v>
      </c>
      <c r="M52" s="126"/>
      <c r="N52" s="119">
        <f t="shared" ref="N52:S52" si="16">N50/N48*1000</f>
        <v>3282.8141425824324</v>
      </c>
      <c r="O52" s="120">
        <f t="shared" si="16"/>
        <v>3041.0142735981581</v>
      </c>
      <c r="P52" s="120">
        <f t="shared" si="16"/>
        <v>3223.4699398607668</v>
      </c>
      <c r="Q52" s="120">
        <f t="shared" si="16"/>
        <v>3292.8117798718627</v>
      </c>
      <c r="R52" s="120">
        <f t="shared" si="16"/>
        <v>3384.1327263168523</v>
      </c>
      <c r="S52" s="120">
        <f t="shared" si="16"/>
        <v>3472.6419932645213</v>
      </c>
      <c r="T52" s="120">
        <f>T50/T48*1000</f>
        <v>3333.7969287702977</v>
      </c>
      <c r="U52" s="121">
        <f t="shared" si="4"/>
        <v>110.32698890953088</v>
      </c>
      <c r="V52" s="121">
        <f t="shared" si="5"/>
        <v>3.422615720570247</v>
      </c>
    </row>
    <row r="53" spans="1:22">
      <c r="A53" s="127"/>
      <c r="B53" s="162" t="s">
        <v>93</v>
      </c>
      <c r="C53" s="163"/>
      <c r="D53" s="164"/>
      <c r="E53" s="164"/>
      <c r="F53" s="165"/>
      <c r="G53" s="132"/>
      <c r="H53" s="132"/>
      <c r="I53" s="132"/>
      <c r="J53" s="132"/>
      <c r="K53" s="132"/>
      <c r="L53" s="132"/>
      <c r="M53" s="126"/>
      <c r="N53" s="126"/>
      <c r="O53" s="126"/>
      <c r="P53" s="126"/>
      <c r="Q53" s="126"/>
      <c r="R53" s="126"/>
      <c r="S53" s="126"/>
      <c r="T53" s="126"/>
      <c r="U53" s="121"/>
      <c r="V53" s="121"/>
    </row>
    <row r="54" spans="1:22">
      <c r="A54" s="122"/>
      <c r="B54" s="123" t="s">
        <v>94</v>
      </c>
      <c r="C54" s="139" t="s">
        <v>95</v>
      </c>
      <c r="D54" s="124">
        <v>37</v>
      </c>
      <c r="E54" s="124">
        <v>37</v>
      </c>
      <c r="F54" s="124">
        <v>37</v>
      </c>
      <c r="G54" s="124">
        <v>37</v>
      </c>
      <c r="H54" s="124">
        <v>37</v>
      </c>
      <c r="I54" s="124">
        <v>37</v>
      </c>
      <c r="J54" s="124">
        <v>37</v>
      </c>
      <c r="K54" s="124">
        <v>37</v>
      </c>
      <c r="L54" s="124">
        <v>37</v>
      </c>
      <c r="M54" s="126"/>
      <c r="N54" s="166">
        <v>37</v>
      </c>
      <c r="O54" s="139">
        <f t="shared" ref="O54:T54" si="17">O56+O57</f>
        <v>37</v>
      </c>
      <c r="P54" s="139">
        <f t="shared" si="17"/>
        <v>37</v>
      </c>
      <c r="Q54" s="139">
        <f t="shared" si="17"/>
        <v>37</v>
      </c>
      <c r="R54" s="139">
        <f t="shared" si="17"/>
        <v>37</v>
      </c>
      <c r="S54" s="139">
        <f t="shared" si="17"/>
        <v>37</v>
      </c>
      <c r="T54" s="139">
        <f t="shared" si="17"/>
        <v>37</v>
      </c>
      <c r="U54" s="121">
        <f t="shared" si="4"/>
        <v>0</v>
      </c>
      <c r="V54" s="121">
        <f t="shared" si="5"/>
        <v>0</v>
      </c>
    </row>
    <row r="55" spans="1:22">
      <c r="A55" s="167"/>
      <c r="B55" s="168" t="s">
        <v>6</v>
      </c>
      <c r="C55" s="169"/>
      <c r="D55" s="130"/>
      <c r="E55" s="130"/>
      <c r="F55" s="130"/>
      <c r="G55" s="170"/>
      <c r="H55" s="132"/>
      <c r="I55" s="132"/>
      <c r="J55" s="132"/>
      <c r="K55" s="132"/>
      <c r="L55" s="132"/>
      <c r="M55" s="126"/>
      <c r="N55" s="171"/>
      <c r="O55" s="126"/>
      <c r="P55" s="126"/>
      <c r="Q55" s="126"/>
      <c r="R55" s="126"/>
      <c r="S55" s="126"/>
      <c r="T55" s="126"/>
      <c r="U55" s="121"/>
      <c r="V55" s="121"/>
    </row>
    <row r="56" spans="1:22">
      <c r="A56" s="167"/>
      <c r="B56" s="162" t="s">
        <v>96</v>
      </c>
      <c r="C56" s="126" t="s">
        <v>95</v>
      </c>
      <c r="D56" s="130">
        <v>31</v>
      </c>
      <c r="E56" s="130">
        <v>31</v>
      </c>
      <c r="F56" s="130">
        <v>31</v>
      </c>
      <c r="G56" s="130">
        <v>31</v>
      </c>
      <c r="H56" s="130">
        <v>31</v>
      </c>
      <c r="I56" s="130">
        <v>31</v>
      </c>
      <c r="J56" s="130">
        <v>31</v>
      </c>
      <c r="K56" s="130">
        <v>31</v>
      </c>
      <c r="L56" s="130">
        <v>31</v>
      </c>
      <c r="M56" s="126"/>
      <c r="N56" s="171">
        <v>31</v>
      </c>
      <c r="O56" s="172">
        <v>31</v>
      </c>
      <c r="P56" s="172">
        <v>31</v>
      </c>
      <c r="Q56" s="172">
        <v>31</v>
      </c>
      <c r="R56" s="172">
        <v>31</v>
      </c>
      <c r="S56" s="172">
        <v>31</v>
      </c>
      <c r="T56" s="172">
        <v>31</v>
      </c>
      <c r="U56" s="121">
        <f t="shared" si="4"/>
        <v>0</v>
      </c>
      <c r="V56" s="121">
        <f t="shared" si="5"/>
        <v>0</v>
      </c>
    </row>
    <row r="57" spans="1:22">
      <c r="A57" s="167"/>
      <c r="B57" s="162" t="s">
        <v>97</v>
      </c>
      <c r="C57" s="126" t="s">
        <v>95</v>
      </c>
      <c r="D57" s="130">
        <v>6</v>
      </c>
      <c r="E57" s="130">
        <v>6</v>
      </c>
      <c r="F57" s="130">
        <v>6</v>
      </c>
      <c r="G57" s="130">
        <v>6</v>
      </c>
      <c r="H57" s="130">
        <v>6</v>
      </c>
      <c r="I57" s="130">
        <v>6</v>
      </c>
      <c r="J57" s="130">
        <v>6</v>
      </c>
      <c r="K57" s="130">
        <v>6</v>
      </c>
      <c r="L57" s="130">
        <v>6</v>
      </c>
      <c r="M57" s="126"/>
      <c r="N57" s="171">
        <v>6</v>
      </c>
      <c r="O57" s="172">
        <v>6</v>
      </c>
      <c r="P57" s="172">
        <v>6</v>
      </c>
      <c r="Q57" s="172">
        <v>6</v>
      </c>
      <c r="R57" s="172">
        <v>6</v>
      </c>
      <c r="S57" s="172">
        <v>6</v>
      </c>
      <c r="T57" s="172">
        <v>6</v>
      </c>
      <c r="U57" s="121">
        <f t="shared" si="4"/>
        <v>0</v>
      </c>
      <c r="V57" s="121">
        <f t="shared" si="5"/>
        <v>0</v>
      </c>
    </row>
    <row r="58" spans="1:22" ht="29.25">
      <c r="A58" s="126"/>
      <c r="B58" s="173" t="s">
        <v>98</v>
      </c>
      <c r="C58" s="139" t="s">
        <v>99</v>
      </c>
      <c r="D58" s="124">
        <v>54942</v>
      </c>
      <c r="E58" s="150">
        <f t="shared" ref="E58:L58" si="18">(E17+E32)/12/E54*1000</f>
        <v>68538.400900900902</v>
      </c>
      <c r="F58" s="150">
        <f t="shared" si="18"/>
        <v>72904.504504504497</v>
      </c>
      <c r="G58" s="150">
        <f t="shared" si="18"/>
        <v>441923.42342342337</v>
      </c>
      <c r="H58" s="150">
        <f t="shared" si="18"/>
        <v>76846.396396396405</v>
      </c>
      <c r="I58" s="150">
        <f t="shared" si="18"/>
        <v>82225.67567567568</v>
      </c>
      <c r="J58" s="150">
        <f t="shared" si="18"/>
        <v>87981.306306306287</v>
      </c>
      <c r="K58" s="150">
        <f t="shared" si="18"/>
        <v>94140.090090090103</v>
      </c>
      <c r="L58" s="150">
        <f t="shared" si="18"/>
        <v>100729.95495495494</v>
      </c>
      <c r="M58" s="126"/>
      <c r="N58" s="174">
        <f>(N17+N32)/12/N54*1000</f>
        <v>440902.03825832944</v>
      </c>
      <c r="O58" s="120">
        <f t="shared" ref="O58:T58" si="19">(O17+O32)/O54/12*1000</f>
        <v>76846.4054054054</v>
      </c>
      <c r="P58" s="120">
        <f t="shared" si="19"/>
        <v>86728.896396396391</v>
      </c>
      <c r="Q58" s="120">
        <f t="shared" si="19"/>
        <v>89723.619805405411</v>
      </c>
      <c r="R58" s="120">
        <f t="shared" si="19"/>
        <v>92415.328399567574</v>
      </c>
      <c r="S58" s="120">
        <f t="shared" si="19"/>
        <v>95187.788251554593</v>
      </c>
      <c r="T58" s="120">
        <f t="shared" si="19"/>
        <v>88951.75675675676</v>
      </c>
      <c r="U58" s="121">
        <f t="shared" si="4"/>
        <v>2222.8603603603697</v>
      </c>
      <c r="V58" s="121">
        <f t="shared" si="5"/>
        <v>2.5629985537931161</v>
      </c>
    </row>
    <row r="59" spans="1:22">
      <c r="A59" s="126"/>
      <c r="B59" s="162" t="s">
        <v>101</v>
      </c>
      <c r="C59" s="126" t="s">
        <v>99</v>
      </c>
      <c r="D59" s="130">
        <v>51380</v>
      </c>
      <c r="E59" s="175">
        <f t="shared" ref="E59:L59" si="20">E17/E56/12*1000</f>
        <v>65398.413978494616</v>
      </c>
      <c r="F59" s="175">
        <f t="shared" si="20"/>
        <v>69812.365591397844</v>
      </c>
      <c r="G59" s="175">
        <f t="shared" si="20"/>
        <v>427584.40860215051</v>
      </c>
      <c r="H59" s="175">
        <f t="shared" si="20"/>
        <v>74352.956989247323</v>
      </c>
      <c r="I59" s="175">
        <f t="shared" si="20"/>
        <v>79557.795698924732</v>
      </c>
      <c r="J59" s="175">
        <f t="shared" si="20"/>
        <v>85126.612903225803</v>
      </c>
      <c r="K59" s="175">
        <f t="shared" si="20"/>
        <v>91085.483870967757</v>
      </c>
      <c r="L59" s="175">
        <f t="shared" si="20"/>
        <v>97461.559139784935</v>
      </c>
      <c r="M59" s="126"/>
      <c r="N59" s="176">
        <f>N17/N56/12*1000</f>
        <v>437061.70779776352</v>
      </c>
      <c r="O59" s="126">
        <v>74353</v>
      </c>
      <c r="P59" s="126">
        <v>86729</v>
      </c>
      <c r="Q59" s="121">
        <f>P59*1.04</f>
        <v>90198.16</v>
      </c>
      <c r="R59" s="121">
        <f>Q59*1.03</f>
        <v>92904.104800000001</v>
      </c>
      <c r="S59" s="121">
        <f>R59*1.03</f>
        <v>95691.227943999998</v>
      </c>
      <c r="T59" s="177">
        <f>T17/T56/12*1000</f>
        <v>86065.967741935485</v>
      </c>
      <c r="U59" s="121">
        <f t="shared" si="4"/>
        <v>-663.03225806451519</v>
      </c>
      <c r="V59" s="121">
        <f t="shared" si="5"/>
        <v>-0.76448737799872613</v>
      </c>
    </row>
    <row r="60" spans="1:22">
      <c r="A60" s="126"/>
      <c r="B60" s="162" t="s">
        <v>103</v>
      </c>
      <c r="C60" s="126" t="s">
        <v>99</v>
      </c>
      <c r="D60" s="130">
        <v>73343</v>
      </c>
      <c r="E60" s="175">
        <f t="shared" ref="E60:L60" si="21">E32/E57/12*1000</f>
        <v>84761.666666666672</v>
      </c>
      <c r="F60" s="175">
        <f t="shared" si="21"/>
        <v>88880.555555555547</v>
      </c>
      <c r="G60" s="175">
        <f t="shared" si="21"/>
        <v>516008.33333333343</v>
      </c>
      <c r="H60" s="175">
        <f t="shared" si="21"/>
        <v>89729.166666666672</v>
      </c>
      <c r="I60" s="175">
        <f t="shared" si="21"/>
        <v>96009.722222222204</v>
      </c>
      <c r="J60" s="175">
        <f t="shared" si="21"/>
        <v>102730.55555555555</v>
      </c>
      <c r="K60" s="175">
        <f t="shared" si="21"/>
        <v>109922.22222222222</v>
      </c>
      <c r="L60" s="175">
        <f t="shared" si="21"/>
        <v>117616.66666666666</v>
      </c>
      <c r="M60" s="126"/>
      <c r="N60" s="176">
        <f>N32/N57/12*1000</f>
        <v>460743.74563791999</v>
      </c>
      <c r="O60" s="126">
        <v>89729</v>
      </c>
      <c r="P60" s="126">
        <v>83915.22</v>
      </c>
      <c r="Q60" s="121">
        <f>P60*1.04</f>
        <v>87271.828800000003</v>
      </c>
      <c r="R60" s="121">
        <f>Q60*1.03</f>
        <v>89889.983663999999</v>
      </c>
      <c r="S60" s="121">
        <f>R60*1.03</f>
        <v>92586.683173919999</v>
      </c>
      <c r="T60" s="178">
        <f>T32/T57/12*1000</f>
        <v>103861.66666666667</v>
      </c>
      <c r="U60" s="121">
        <f t="shared" si="4"/>
        <v>19946.44666666667</v>
      </c>
      <c r="V60" s="121">
        <f t="shared" si="5"/>
        <v>23.769760320793619</v>
      </c>
    </row>
    <row r="61" spans="1:22">
      <c r="B61" s="3"/>
      <c r="C61" s="3"/>
      <c r="D61" s="3"/>
      <c r="E61" s="3"/>
      <c r="F61" s="3"/>
      <c r="G61" s="4"/>
    </row>
    <row r="62" spans="1:22">
      <c r="B62" s="3"/>
      <c r="C62" s="3"/>
      <c r="D62" s="3"/>
      <c r="E62" s="3"/>
      <c r="F62" s="3"/>
      <c r="G62" s="4"/>
    </row>
    <row r="63" spans="1:22" ht="15.75">
      <c r="B63" s="5"/>
      <c r="C63" s="6"/>
      <c r="D63" s="6"/>
      <c r="E63" s="2"/>
      <c r="F63" s="2"/>
    </row>
  </sheetData>
  <mergeCells count="4">
    <mergeCell ref="P1:S1"/>
    <mergeCell ref="A3:V3"/>
    <mergeCell ref="G5:L5"/>
    <mergeCell ref="M5:S5"/>
  </mergeCells>
  <pageMargins left="0.23622047244094491" right="0.11811023622047245" top="0.74803149606299213" bottom="0.74803149606299213" header="0.31496062992125984" footer="0.31496062992125984"/>
  <pageSetup paperSize="9" scale="7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водоотведение</vt:lpstr>
      <vt:lpstr>тепло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Кенесбай</dc:creator>
  <cp:lastModifiedBy>user2</cp:lastModifiedBy>
  <cp:lastPrinted>2018-12-28T05:05:01Z</cp:lastPrinted>
  <dcterms:created xsi:type="dcterms:W3CDTF">2016-04-26T11:51:30Z</dcterms:created>
  <dcterms:modified xsi:type="dcterms:W3CDTF">2020-02-12T11:06:01Z</dcterms:modified>
</cp:coreProperties>
</file>